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ccueil" sheetId="1" r:id="rId1"/>
    <sheet name="Parametres" sheetId="2" r:id="rId2"/>
    <sheet name="Services" sheetId="3" r:id="rId3"/>
    <sheet name="Clients" sheetId="4" r:id="rId4"/>
    <sheet name="RendezVous" sheetId="5" r:id="rId5"/>
    <sheet name="Messages" sheetId="6" r:id="rId6"/>
    <sheet name="Portrait" sheetId="7" r:id="rId7"/>
    <sheet name="Facture" sheetId="8" r:id="rId8"/>
    <sheet name="Fusion" sheetId="9" r:id="rId9"/>
    <sheet name="Tests" sheetId="10" r:id="rId10"/>
  </sheets>
  <definedNames>
    <definedName name="_xlnm._FilterDatabase" localSheetId="3" hidden="1">Clients!$A$1:$M$51</definedName>
    <definedName name="_xlnm._FilterDatabase" localSheetId="8" hidden="1">Fusion!$A$1:$K$51</definedName>
    <definedName name="_xlnm._FilterDatabase" localSheetId="5" hidden="1">Messages!$A$1:$K$301</definedName>
    <definedName name="_xlnm._FilterDatabase" localSheetId="4" hidden="1">RendezVous!$A$1:$T$301</definedName>
    <definedName name="ListeClients">Clients!$A$2:$A$51</definedName>
    <definedName name="ListeFactures">Services!$F$2:$F$3</definedName>
    <definedName name="ListeMessages">Services!$G$2:$G$4</definedName>
    <definedName name="ListeRdv">RendezVous!$A$2:$A$301</definedName>
    <definedName name="ListeServices">Services!$A$2:$A$4</definedName>
    <definedName name="ListeStatuts">Services!$E$2:$E$5</definedName>
    <definedName name="OuiNon">Services!$H$2:$H$3</definedName>
    <definedName name="_xlnm.Print_Area" localSheetId="0">Accueil!$B$2:$H$28</definedName>
    <definedName name="_xlnm.Print_Area" localSheetId="3">Clients!$A$1:$M$13</definedName>
    <definedName name="_xlnm.Print_Area" localSheetId="7">Facture!$B$2:$F$30</definedName>
    <definedName name="_xlnm.Print_Area" localSheetId="8">Fusion!$A$1:$K$13</definedName>
    <definedName name="_xlnm.Print_Area" localSheetId="5">Messages!$A$1:$K$4</definedName>
    <definedName name="_xlnm.Print_Area" localSheetId="1">Parametres!$A$1:$C$10</definedName>
    <definedName name="_xlnm.Print_Area" localSheetId="6">Portrait!$A$1:$H$32</definedName>
    <definedName name="_xlnm.Print_Area" localSheetId="4">RendezVous!$A$1:$T$29</definedName>
    <definedName name="_xlnm.Print_Area" localSheetId="2">Services!$A$1:$H$5</definedName>
    <definedName name="_xlnm.Print_Area" localSheetId="9">Tests!$A$1:$L$13</definedName>
    <definedName name="_xlnm.Print_Titles" localSheetId="4">RendezVous!$1:$1</definedName>
  </definedNames>
  <calcPr calcId="124519" fullCalcOnLoad="1"/>
</workbook>
</file>

<file path=xl/sharedStrings.xml><?xml version="1.0" encoding="utf-8"?>
<sst xmlns="http://schemas.openxmlformats.org/spreadsheetml/2006/main" count="526" uniqueCount="282">
  <si>
    <t>Paramètre</t>
  </si>
  <si>
    <t>Valeur</t>
  </si>
  <si>
    <t>Règle</t>
  </si>
  <si>
    <t>Début de la promotion</t>
  </si>
  <si>
    <t>Hypothèse pédagogique à confirmer.</t>
  </si>
  <si>
    <t>Fin de la promotion</t>
  </si>
  <si>
    <t>Douze mois; dernière journée incluse.</t>
  </si>
  <si>
    <t>Début de l’historique</t>
  </si>
  <si>
    <t>Première journée d’admissibilité incluse.</t>
  </si>
  <si>
    <t>Taux du rabais</t>
  </si>
  <si>
    <t>Appliqué seulement aux consultations de sexologie admissibles.</t>
  </si>
  <si>
    <t>Année du bilan</t>
  </si>
  <si>
    <t>Douze mois civils.</t>
  </si>
  <si>
    <t>Date de référence</t>
  </si>
  <si>
    <t>Date fixe pour reproduire les essais; actualiser quotidiennement.</t>
  </si>
  <si>
    <t>Mois du portrait</t>
  </si>
  <si>
    <t>Saisir le premier jour du mois.</t>
  </si>
  <si>
    <t>Coordonnées organisme</t>
  </si>
  <si>
    <t>Adresse, téléphone et courriel réels requis avant utilisation.</t>
  </si>
  <si>
    <t>[À compléter]</t>
  </si>
  <si>
    <t>Capacité du prototype</t>
  </si>
  <si>
    <t>RendezVous et Messages : lignes 2 à 301; Clients : lignes 2 à 51.</t>
  </si>
  <si>
    <t>Service</t>
  </si>
  <si>
    <t>Professionnel</t>
  </si>
  <si>
    <t>Tarif démo / h</t>
  </si>
  <si>
    <t>Capacité / mois (h)</t>
  </si>
  <si>
    <t>Statut RDV</t>
  </si>
  <si>
    <t>État facture</t>
  </si>
  <si>
    <t>État message</t>
  </si>
  <si>
    <t>Oui / Non</t>
  </si>
  <si>
    <t>Juridique</t>
  </si>
  <si>
    <t>Moumadou N’Tougu</t>
  </si>
  <si>
    <t>Psychologie</t>
  </si>
  <si>
    <t>Micheline Champagne</t>
  </si>
  <si>
    <t>Sexologie</t>
  </si>
  <si>
    <t>Julie Grandmaison</t>
  </si>
  <si>
    <t>Planifié</t>
  </si>
  <si>
    <t>Réalisé</t>
  </si>
  <si>
    <t>Annulé</t>
  </si>
  <si>
    <t>Absent</t>
  </si>
  <si>
    <t>Brouillon</t>
  </si>
  <si>
    <t>Émise</t>
  </si>
  <si>
    <t>À transmettre</t>
  </si>
  <si>
    <t>Transmis</t>
  </si>
  <si>
    <t>Traité</t>
  </si>
  <si>
    <t>Oui</t>
  </si>
  <si>
    <t>Non</t>
  </si>
  <si>
    <t>ID_Client</t>
  </si>
  <si>
    <t>Prenom</t>
  </si>
  <si>
    <t>Nom</t>
  </si>
  <si>
    <t>Adresse</t>
  </si>
  <si>
    <t>Ville</t>
  </si>
  <si>
    <t>Province</t>
  </si>
  <si>
    <t>Code_postal</t>
  </si>
  <si>
    <t>Telephone</t>
  </si>
  <si>
    <t>Courriel</t>
  </si>
  <si>
    <t>Actuel</t>
  </si>
  <si>
    <t>Admissible</t>
  </si>
  <si>
    <t>Nom_complet</t>
  </si>
  <si>
    <t>Controle</t>
  </si>
  <si>
    <t>C001</t>
  </si>
  <si>
    <t>Camille</t>
  </si>
  <si>
    <t>Exemple</t>
  </si>
  <si>
    <t>101, rue Démonstration</t>
  </si>
  <si>
    <t>Ville Exemple</t>
  </si>
  <si>
    <t>QC</t>
  </si>
  <si>
    <t>H0H 0H0</t>
  </si>
  <si>
    <t>[Téléphone démo]</t>
  </si>
  <si>
    <t>client01@example.invalid</t>
  </si>
  <si>
    <t>C002</t>
  </si>
  <si>
    <t>Alex</t>
  </si>
  <si>
    <t>Démo</t>
  </si>
  <si>
    <t>102, rue Démonstration</t>
  </si>
  <si>
    <t>client02@example.invalid</t>
  </si>
  <si>
    <t>C003</t>
  </si>
  <si>
    <t>Claude</t>
  </si>
  <si>
    <t>Essai</t>
  </si>
  <si>
    <t>103, rue Démonstration</t>
  </si>
  <si>
    <t>client03@example.invalid</t>
  </si>
  <si>
    <t>C004</t>
  </si>
  <si>
    <t>Lou</t>
  </si>
  <si>
    <t>Modèle</t>
  </si>
  <si>
    <t>104, rue Démonstration</t>
  </si>
  <si>
    <t>client04@example.invalid</t>
  </si>
  <si>
    <t>C005</t>
  </si>
  <si>
    <t>Dominique</t>
  </si>
  <si>
    <t>Fictif</t>
  </si>
  <si>
    <t>105, rue Démonstration</t>
  </si>
  <si>
    <t>client05@example.invalid</t>
  </si>
  <si>
    <t>C006</t>
  </si>
  <si>
    <t>Sacha</t>
  </si>
  <si>
    <t>Témoin</t>
  </si>
  <si>
    <t>106, rue Démonstration</t>
  </si>
  <si>
    <t>client06@example.invalid</t>
  </si>
  <si>
    <t>C007</t>
  </si>
  <si>
    <t>Charlie</t>
  </si>
  <si>
    <t>Test</t>
  </si>
  <si>
    <t>107, rue Démonstration</t>
  </si>
  <si>
    <t>client07@example.invalid</t>
  </si>
  <si>
    <t>C008</t>
  </si>
  <si>
    <t>Maxime</t>
  </si>
  <si>
    <t>Simulation</t>
  </si>
  <si>
    <t>108, rue Démonstration</t>
  </si>
  <si>
    <t>client08@example.invalid</t>
  </si>
  <si>
    <t>C009</t>
  </si>
  <si>
    <t>Robin</t>
  </si>
  <si>
    <t>Échantillon</t>
  </si>
  <si>
    <t>109, rue Démonstration</t>
  </si>
  <si>
    <t>client09@example.invalid</t>
  </si>
  <si>
    <t>C010</t>
  </si>
  <si>
    <t>Noa</t>
  </si>
  <si>
    <t>Prototype</t>
  </si>
  <si>
    <t>110, rue Démonstration</t>
  </si>
  <si>
    <t>client10@example.invalid</t>
  </si>
  <si>
    <t>C011</t>
  </si>
  <si>
    <t>Morgan</t>
  </si>
  <si>
    <t>Vérification</t>
  </si>
  <si>
    <t>111, rue Démonstration</t>
  </si>
  <si>
    <t>client11@example.invalid</t>
  </si>
  <si>
    <t>C012</t>
  </si>
  <si>
    <t>Alix</t>
  </si>
  <si>
    <t>Démonstration</t>
  </si>
  <si>
    <t>112, rue Démonstration</t>
  </si>
  <si>
    <t>client12@example.invalid</t>
  </si>
  <si>
    <t>ID_Rdv</t>
  </si>
  <si>
    <t>Date</t>
  </si>
  <si>
    <t>Client</t>
  </si>
  <si>
    <t>Heures_prevues</t>
  </si>
  <si>
    <t>Heures_reelles</t>
  </si>
  <si>
    <t>Statut</t>
  </si>
  <si>
    <t>Tarif_horaire</t>
  </si>
  <si>
    <t>Taux_rabais</t>
  </si>
  <si>
    <t>Brut_HT</t>
  </si>
  <si>
    <t>Rabais</t>
  </si>
  <si>
    <t>Net_HT</t>
  </si>
  <si>
    <t>Etat_facture</t>
  </si>
  <si>
    <t>No_facture</t>
  </si>
  <si>
    <t>Heures_facturables</t>
  </si>
  <si>
    <t>Alerte</t>
  </si>
  <si>
    <t>Justification_ecart</t>
  </si>
  <si>
    <t>R001</t>
  </si>
  <si>
    <t>DEMO-001</t>
  </si>
  <si>
    <t>R002</t>
  </si>
  <si>
    <t>DEMO-002</t>
  </si>
  <si>
    <t>R003</t>
  </si>
  <si>
    <t>DEMO-003</t>
  </si>
  <si>
    <t>R004</t>
  </si>
  <si>
    <t>DEMO-004</t>
  </si>
  <si>
    <t>R005</t>
  </si>
  <si>
    <t>DEMO-005</t>
  </si>
  <si>
    <t>R006</t>
  </si>
  <si>
    <t>R007</t>
  </si>
  <si>
    <t>DEMO-007</t>
  </si>
  <si>
    <t>R008</t>
  </si>
  <si>
    <t>DEMO-008</t>
  </si>
  <si>
    <t>R009</t>
  </si>
  <si>
    <t>DEMO-009</t>
  </si>
  <si>
    <t>R010</t>
  </si>
  <si>
    <t>DEMO-010</t>
  </si>
  <si>
    <t>R011</t>
  </si>
  <si>
    <t>DEMO-011</t>
  </si>
  <si>
    <t>R012</t>
  </si>
  <si>
    <t>DEMO-012</t>
  </si>
  <si>
    <t>R013</t>
  </si>
  <si>
    <t>DEMO-013</t>
  </si>
  <si>
    <t>R014</t>
  </si>
  <si>
    <t>DEMO-014</t>
  </si>
  <si>
    <t>R015</t>
  </si>
  <si>
    <t>DEMO-015</t>
  </si>
  <si>
    <t>R016</t>
  </si>
  <si>
    <t>DEMO-016</t>
  </si>
  <si>
    <t>R017</t>
  </si>
  <si>
    <t>DEMO-017</t>
  </si>
  <si>
    <t>R018</t>
  </si>
  <si>
    <t>R019</t>
  </si>
  <si>
    <t>R020</t>
  </si>
  <si>
    <t>R021</t>
  </si>
  <si>
    <t>R022</t>
  </si>
  <si>
    <t>R023</t>
  </si>
  <si>
    <t>R024</t>
  </si>
  <si>
    <t>R025</t>
  </si>
  <si>
    <t>R026</t>
  </si>
  <si>
    <t>R027</t>
  </si>
  <si>
    <t>R028</t>
  </si>
  <si>
    <t>ID_Message</t>
  </si>
  <si>
    <t>Date_recue</t>
  </si>
  <si>
    <t>Nom / ID client</t>
  </si>
  <si>
    <t>Responsable</t>
  </si>
  <si>
    <t>Objet administratif</t>
  </si>
  <si>
    <t>Date_transmission</t>
  </si>
  <si>
    <t>Date_traitement</t>
  </si>
  <si>
    <t>M001</t>
  </si>
  <si>
    <t>Demande de rappel</t>
  </si>
  <si>
    <t>M002</t>
  </si>
  <si>
    <t>Déplacer un rendez-vous</t>
  </si>
  <si>
    <t>M003</t>
  </si>
  <si>
    <t>Confirmer une disponibilité</t>
  </si>
  <si>
    <t>PORTRAIT DES ACTIVITÉS</t>
  </si>
  <si>
    <t>Données fictives • heures réalisées distinctes des réservations • montants hors taxes</t>
  </si>
  <si>
    <t>Année</t>
  </si>
  <si>
    <t>Mois analysé</t>
  </si>
  <si>
    <t>Mois</t>
  </si>
  <si>
    <t>H. juridique</t>
  </si>
  <si>
    <t>H. psychologie</t>
  </si>
  <si>
    <t>H. sexologie</t>
  </si>
  <si>
    <t>H. réalisées</t>
  </si>
  <si>
    <t>Brut HT</t>
  </si>
  <si>
    <t>Net HT</t>
  </si>
  <si>
    <t>TOTAL ANNUEL</t>
  </si>
  <si>
    <t>Capacité (h)</t>
  </si>
  <si>
    <t>Réservées (h)</t>
  </si>
  <si>
    <t>Réalisées (h)</t>
  </si>
  <si>
    <t>Occupation</t>
  </si>
  <si>
    <t>Disponibles (h)</t>
  </si>
  <si>
    <t>Orientation</t>
  </si>
  <si>
    <t>La capacité mensuelle ne garantit pas un créneau précis : consulter les dates de RendezVous avant une promotion.</t>
  </si>
  <si>
    <t>Contrôle RDV</t>
  </si>
  <si>
    <t>Messages à revoir</t>
  </si>
  <si>
    <t>H. émises (année)</t>
  </si>
  <si>
    <t>H. à facturer</t>
  </si>
  <si>
    <t>Les revenus du portrait représentent les prestations réalisées, y compris les brouillons restant à facturer.</t>
  </si>
  <si>
    <t>FACTURE — DÉMONSTRATION</t>
  </si>
  <si>
    <t>Société d’accueil social et communautaire de ressources adaptées et personnelles</t>
  </si>
  <si>
    <t>[Adresse, téléphone et courriel de l’organisme à compléter]</t>
  </si>
  <si>
    <t>Rendez-vous à afficher</t>
  </si>
  <si>
    <t>Numéro de facture</t>
  </si>
  <si>
    <t>Date du service</t>
  </si>
  <si>
    <t>Heures réalisées</t>
  </si>
  <si>
    <t>Tarif horaire</t>
  </si>
  <si>
    <t>Montant brut HT</t>
  </si>
  <si>
    <t>Rabais applicable</t>
  </si>
  <si>
    <t>Montant du rabais</t>
  </si>
  <si>
    <t>TOTAL HORS TAXES</t>
  </si>
  <si>
    <t>État de la facture</t>
  </si>
  <si>
    <t>Contrôle de la saisie</t>
  </si>
  <si>
    <t>Montants de simulation hors taxes. Paramétrage fiscal requis avant une émission réelle.</t>
  </si>
  <si>
    <t>Contrôler le client, les heures et le numéro unique; conserver un PDF figé de toute facture émise.</t>
  </si>
  <si>
    <t>Autorisation technique</t>
  </si>
  <si>
    <t>Envoyer</t>
  </si>
  <si>
    <t>Debut_promotion</t>
  </si>
  <si>
    <t>Fin_promotion</t>
  </si>
  <si>
    <t>Historique admissible</t>
  </si>
  <si>
    <t>Heures</t>
  </si>
  <si>
    <t>Tarif</t>
  </si>
  <si>
    <t>Taux attendu</t>
  </si>
  <si>
    <t>Taux calculé</t>
  </si>
  <si>
    <t>Net attendu</t>
  </si>
  <si>
    <t>Net calculé</t>
  </si>
  <si>
    <t>Résultat</t>
  </si>
  <si>
    <t>T01 début inclus</t>
  </si>
  <si>
    <t>T02 veille du début</t>
  </si>
  <si>
    <t>T03 fin incluse</t>
  </si>
  <si>
    <t>T04 après la fin</t>
  </si>
  <si>
    <t>T05 autre service</t>
  </si>
  <si>
    <t>T06 nouveau client</t>
  </si>
  <si>
    <t>T07 annulation</t>
  </si>
  <si>
    <t>T08 réservation</t>
  </si>
  <si>
    <t>T09 arrondi</t>
  </si>
  <si>
    <t>Ces tests vérifient le moteur de calcul. Les essais Word, la coédition et la répétition orale figurent dans le rapport.</t>
  </si>
  <si>
    <t>UN BUREAU MIEUX COORDONNÉ</t>
  </si>
  <si>
    <t>Classeur de démonstration • ESP 00VB
Saisir dans les cellules jaunes. Les cellules bleues se calculent automatiquement.</t>
  </si>
  <si>
    <t>Parametres</t>
  </si>
  <si>
    <t>Dates, taux et période du bilan</t>
  </si>
  <si>
    <t>Clients</t>
  </si>
  <si>
    <t>Fichier maître et admissibilité historique</t>
  </si>
  <si>
    <t>RendezVous</t>
  </si>
  <si>
    <t>Agenda administratif, heures et facturation</t>
  </si>
  <si>
    <t>Messages</t>
  </si>
  <si>
    <t>Réception, transmission et suivi</t>
  </si>
  <si>
    <t>Portrait</t>
  </si>
  <si>
    <t>Indicateurs mensuels et occupation</t>
  </si>
  <si>
    <t>Facture</t>
  </si>
  <si>
    <t>Facture calculée à partir d’un rendez-vous</t>
  </si>
  <si>
    <t>Fusion</t>
  </si>
  <si>
    <t>Destinataires de la lettre anniversaire</t>
  </si>
  <si>
    <t>Tests</t>
  </si>
  <si>
    <t>Neuf cas de calcul reproductibles</t>
  </si>
  <si>
    <t>Hypothèses : promotion du 1er septembre 2026 au 31 août 2027; historique du 1er septembre 2025 au 31 août 2026. Tous les clients et montants sont fictifs.</t>
  </si>
  <si>
    <t>Les alertes repèrent les erreurs; la technicienne les résout avant validation. Les messages sont consultés dans le registre : aucune notification n’est envoyée automatiquement.</t>
  </si>
  <si>
    <t>Pour travailler simultanément : déployer une copie .xlsx dans l’espace Microsoft 365 autorisé et effectuer un essai à deux comptes. Une copie locale ne prouve pas la coédition.</t>
  </si>
  <si>
    <t>Capacité : 50 clients, 300 rendez-vous et 300 messages. Extension des plages et nouveau test requis avant dépassement. Protection sans mot de passe contre les erreurs de saisie.</t>
  </si>
  <si>
    <t>Retour à l’accueil</t>
  </si>
</sst>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0"/>
    <numFmt numFmtId="167" formatCode="#,##0.00 &quot; $&quot;"/>
  </numFmts>
  <fonts count="5">
    <font>
      <sz val="11"/>
      <color theme="1"/>
      <name val="Calibri"/>
      <family val="2"/>
      <scheme val="minor"/>
    </font>
    <font>
      <b/>
      <sz val="22"/>
      <color rgb="FF16324F"/>
      <name val="Calibri"/>
      <family val="2"/>
      <scheme val="minor"/>
    </font>
    <font>
      <sz val="11"/>
      <color rgb="FF526477"/>
      <name val="Calibri"/>
      <family val="2"/>
      <scheme val="minor"/>
    </font>
    <font>
      <u/>
      <sz val="11"/>
      <color rgb="FF007D8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324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AF3F8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0" fillId="3" borderId="0" xfId="0" applyNumberFormat="1" applyFill="1" applyAlignment="1" applyProtection="1">
      <alignment vertical="center"/>
      <protection locked="0"/>
    </xf>
    <xf numFmtId="165" fontId="0" fillId="3" borderId="0" xfId="0" applyNumberForma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4" borderId="0" xfId="0" applyFill="1" applyAlignment="1">
      <alignment vertical="center"/>
    </xf>
    <xf numFmtId="166" fontId="0" fillId="3" borderId="0" xfId="0" applyNumberFormat="1" applyFill="1" applyAlignment="1" applyProtection="1">
      <alignment vertical="center"/>
      <protection locked="0"/>
    </xf>
    <xf numFmtId="167" fontId="0" fillId="4" borderId="0" xfId="0" applyNumberFormat="1" applyFill="1" applyAlignment="1">
      <alignment vertical="center"/>
    </xf>
    <xf numFmtId="165" fontId="0" fillId="4" borderId="0" xfId="0" applyNumberFormat="1" applyFill="1" applyAlignment="1">
      <alignment vertical="center"/>
    </xf>
    <xf numFmtId="166" fontId="0" fillId="4" borderId="0" xfId="0" applyNumberFormat="1" applyFill="1" applyAlignment="1">
      <alignment vertical="center"/>
    </xf>
    <xf numFmtId="164" fontId="0" fillId="4" borderId="0" xfId="0" applyNumberFormat="1" applyFill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CE4D6"/>
        </patternFill>
      </fill>
    </dxf>
    <dxf>
      <font>
        <color rgb="FF375623"/>
      </font>
      <fill>
        <patternFill>
          <bgColor rgb="FFE2F0D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Heures réalisées par mois et par service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Portrait!$B$5</c:f>
              <c:strCache>
                <c:ptCount val="1"/>
                <c:pt idx="0">
                  <c:v>H. juridique</c:v>
                </c:pt>
              </c:strCache>
            </c:strRef>
          </c:tx>
          <c:spPr>
            <a:solidFill>
              <a:srgbClr val="16324F"/>
            </a:solidFill>
          </c:spPr>
          <c:cat>
            <c:numRef>
              <c:f>Portrait!$A$6:$A$17</c:f>
              <c:numCache>
                <c:formatCode>General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Portrait!$B$6:$B$17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Portrait!$C$5</c:f>
              <c:strCache>
                <c:ptCount val="1"/>
                <c:pt idx="0">
                  <c:v>H. psychologie</c:v>
                </c:pt>
              </c:strCache>
            </c:strRef>
          </c:tx>
          <c:spPr>
            <a:solidFill>
              <a:srgbClr val="007D8A"/>
            </a:solidFill>
          </c:spPr>
          <c:cat>
            <c:numRef>
              <c:f>Portrait!$A$6:$A$17</c:f>
              <c:numCache>
                <c:formatCode>General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Portrait!$C$6:$C$17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2"/>
          <c:order val="2"/>
          <c:tx>
            <c:strRef>
              <c:f>Portrait!$D$5</c:f>
              <c:strCache>
                <c:ptCount val="1"/>
                <c:pt idx="0">
                  <c:v>H. sexologie</c:v>
                </c:pt>
              </c:strCache>
            </c:strRef>
          </c:tx>
          <c:spPr>
            <a:solidFill>
              <a:srgbClr val="E0AC46"/>
            </a:solidFill>
          </c:spPr>
          <c:cat>
            <c:numRef>
              <c:f>Portrait!$A$6:$A$17</c:f>
              <c:numCache>
                <c:formatCode>General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Portrait!$D$6:$D$17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3.5</c:v>
                </c:pt>
                <c:pt idx="8">
                  <c:v>6.75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overlap val="100"/>
        <c:axId val="50010001"/>
        <c:axId val="50010002"/>
      </c:barChart>
      <c:catAx>
        <c:axId val="50010001"/>
        <c:scaling>
          <c:orientation val="minMax"/>
        </c:scaling>
        <c:axPos val="b"/>
        <c:numFmt formatCode="mmm" sourceLinked="0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Heures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6</xdr:col>
      <xdr:colOff>0</xdr:colOff>
      <xdr:row>44</xdr:row>
      <xdr:rowOff>190500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28"/>
  <sheetViews>
    <sheetView showGridLines="0" tabSelected="1" workbookViewId="0"/>
  </sheetViews>
  <sheetFormatPr defaultRowHeight="22" customHeight="1"/>
  <cols>
    <col min="1" max="1" width="4.7109375" customWidth="1"/>
    <col min="2" max="2" width="30.7109375" customWidth="1"/>
    <col min="3" max="8" width="15.7109375" customWidth="1"/>
  </cols>
  <sheetData>
    <row r="2" spans="2:8" ht="22" customHeight="1">
      <c r="B2" s="1" t="s">
        <v>259</v>
      </c>
      <c r="C2" s="1"/>
      <c r="D2" s="1"/>
      <c r="E2" s="1"/>
      <c r="F2" s="1"/>
      <c r="G2" s="1"/>
      <c r="H2" s="1"/>
    </row>
    <row r="4" spans="2:8" ht="22" customHeight="1">
      <c r="B4" s="2" t="s">
        <v>260</v>
      </c>
      <c r="C4" s="2"/>
      <c r="D4" s="2"/>
      <c r="E4" s="2"/>
      <c r="F4" s="2"/>
      <c r="G4" s="2"/>
      <c r="H4" s="2"/>
    </row>
    <row r="5" spans="2:8" ht="22" customHeight="1">
      <c r="B5" s="2"/>
      <c r="C5" s="2"/>
      <c r="D5" s="2"/>
      <c r="E5" s="2"/>
      <c r="F5" s="2"/>
      <c r="G5" s="2"/>
      <c r="H5" s="2"/>
    </row>
    <row r="8" spans="2:8" ht="22" customHeight="1">
      <c r="B8" s="3" t="s">
        <v>261</v>
      </c>
      <c r="C8" s="4" t="s">
        <v>262</v>
      </c>
      <c r="D8" s="4"/>
      <c r="E8" s="4"/>
      <c r="F8" s="4"/>
      <c r="G8" s="4"/>
      <c r="H8" s="4"/>
    </row>
    <row r="9" spans="2:8" ht="22" customHeight="1">
      <c r="B9" s="3" t="s">
        <v>263</v>
      </c>
      <c r="C9" s="4" t="s">
        <v>264</v>
      </c>
      <c r="D9" s="4"/>
      <c r="E9" s="4"/>
      <c r="F9" s="4"/>
      <c r="G9" s="4"/>
      <c r="H9" s="4"/>
    </row>
    <row r="10" spans="2:8" ht="22" customHeight="1">
      <c r="B10" s="3" t="s">
        <v>265</v>
      </c>
      <c r="C10" s="4" t="s">
        <v>266</v>
      </c>
      <c r="D10" s="4"/>
      <c r="E10" s="4"/>
      <c r="F10" s="4"/>
      <c r="G10" s="4"/>
      <c r="H10" s="4"/>
    </row>
    <row r="11" spans="2:8" ht="22" customHeight="1">
      <c r="B11" s="3" t="s">
        <v>267</v>
      </c>
      <c r="C11" s="4" t="s">
        <v>268</v>
      </c>
      <c r="D11" s="4"/>
      <c r="E11" s="4"/>
      <c r="F11" s="4"/>
      <c r="G11" s="4"/>
      <c r="H11" s="4"/>
    </row>
    <row r="12" spans="2:8" ht="22" customHeight="1">
      <c r="B12" s="3" t="s">
        <v>269</v>
      </c>
      <c r="C12" s="4" t="s">
        <v>270</v>
      </c>
      <c r="D12" s="4"/>
      <c r="E12" s="4"/>
      <c r="F12" s="4"/>
      <c r="G12" s="4"/>
      <c r="H12" s="4"/>
    </row>
    <row r="13" spans="2:8" ht="22" customHeight="1">
      <c r="B13" s="3" t="s">
        <v>271</v>
      </c>
      <c r="C13" s="4" t="s">
        <v>272</v>
      </c>
      <c r="D13" s="4"/>
      <c r="E13" s="4"/>
      <c r="F13" s="4"/>
      <c r="G13" s="4"/>
      <c r="H13" s="4"/>
    </row>
    <row r="14" spans="2:8" ht="22" customHeight="1">
      <c r="B14" s="3" t="s">
        <v>273</v>
      </c>
      <c r="C14" s="4" t="s">
        <v>274</v>
      </c>
      <c r="D14" s="4"/>
      <c r="E14" s="4"/>
      <c r="F14" s="4"/>
      <c r="G14" s="4"/>
      <c r="H14" s="4"/>
    </row>
    <row r="15" spans="2:8" ht="22" customHeight="1">
      <c r="B15" s="3" t="s">
        <v>275</v>
      </c>
      <c r="C15" s="4" t="s">
        <v>276</v>
      </c>
      <c r="D15" s="4"/>
      <c r="E15" s="4"/>
      <c r="F15" s="4"/>
      <c r="G15" s="4"/>
      <c r="H15" s="4"/>
    </row>
    <row r="18" spans="2:8" ht="22" customHeight="1">
      <c r="B18" s="2" t="s">
        <v>277</v>
      </c>
      <c r="C18" s="2"/>
      <c r="D18" s="2"/>
      <c r="E18" s="2"/>
      <c r="F18" s="2"/>
      <c r="G18" s="2"/>
      <c r="H18" s="2"/>
    </row>
    <row r="19" spans="2:8" ht="22" customHeight="1">
      <c r="B19" s="2"/>
      <c r="C19" s="2"/>
      <c r="D19" s="2"/>
      <c r="E19" s="2"/>
      <c r="F19" s="2"/>
      <c r="G19" s="2"/>
      <c r="H19" s="2"/>
    </row>
    <row r="21" spans="2:8" ht="22" customHeight="1">
      <c r="B21" s="2" t="s">
        <v>278</v>
      </c>
      <c r="C21" s="2"/>
      <c r="D21" s="2"/>
      <c r="E21" s="2"/>
      <c r="F21" s="2"/>
      <c r="G21" s="2"/>
      <c r="H21" s="2"/>
    </row>
    <row r="22" spans="2:8" ht="22" customHeight="1">
      <c r="B22" s="2"/>
      <c r="C22" s="2"/>
      <c r="D22" s="2"/>
      <c r="E22" s="2"/>
      <c r="F22" s="2"/>
      <c r="G22" s="2"/>
      <c r="H22" s="2"/>
    </row>
    <row r="24" spans="2:8" ht="22" customHeight="1">
      <c r="B24" s="2" t="s">
        <v>279</v>
      </c>
      <c r="C24" s="2"/>
      <c r="D24" s="2"/>
      <c r="E24" s="2"/>
      <c r="F24" s="2"/>
      <c r="G24" s="2"/>
      <c r="H24" s="2"/>
    </row>
    <row r="25" spans="2:8" ht="22" customHeight="1">
      <c r="B25" s="2"/>
      <c r="C25" s="2"/>
      <c r="D25" s="2"/>
      <c r="E25" s="2"/>
      <c r="F25" s="2"/>
      <c r="G25" s="2"/>
      <c r="H25" s="2"/>
    </row>
    <row r="27" spans="2:8" ht="22" customHeight="1">
      <c r="B27" s="2" t="s">
        <v>280</v>
      </c>
      <c r="C27" s="2"/>
      <c r="D27" s="2"/>
      <c r="E27" s="2"/>
      <c r="F27" s="2"/>
      <c r="G27" s="2"/>
      <c r="H27" s="2"/>
    </row>
    <row r="28" spans="2:8" ht="22" customHeight="1">
      <c r="B28" s="2"/>
      <c r="C28" s="2"/>
      <c r="D28" s="2"/>
      <c r="E28" s="2"/>
      <c r="F28" s="2"/>
      <c r="G28" s="2"/>
      <c r="H28" s="2"/>
    </row>
  </sheetData>
  <mergeCells count="14">
    <mergeCell ref="B2:H2"/>
    <mergeCell ref="B4:H5"/>
    <mergeCell ref="C8:H8"/>
    <mergeCell ref="C9:H9"/>
    <mergeCell ref="C10:H10"/>
    <mergeCell ref="C11:H11"/>
    <mergeCell ref="C12:H12"/>
    <mergeCell ref="C13:H13"/>
    <mergeCell ref="C14:H14"/>
    <mergeCell ref="C15:H15"/>
    <mergeCell ref="B18:H19"/>
    <mergeCell ref="B21:H22"/>
    <mergeCell ref="B24:H25"/>
    <mergeCell ref="B27:H28"/>
  </mergeCells>
  <hyperlinks>
    <hyperlink ref="B8" location="'Parametres'!A1" display="Parametres"/>
    <hyperlink ref="B9" location="'Clients'!A1" display="Clients"/>
    <hyperlink ref="B10" location="'RendezVous'!A1" display="RendezVous"/>
    <hyperlink ref="B11" location="'Messages'!A1" display="Messages"/>
    <hyperlink ref="B12" location="'Portrait'!A1" display="Portrait"/>
    <hyperlink ref="B13" location="'Facture'!A1" display="Facture"/>
    <hyperlink ref="B14" location="'Fusion'!A1" display="Fusion"/>
    <hyperlink ref="B15" location="'Tests'!A1" display="Tests"/>
  </hyperlinks>
  <pageMargins left="0.3" right="0.3" top="0.45" bottom="0.45" header="0.3" footer="0.3"/>
  <pageSetup paperSize="1" orientation="landscape"/>
  <headerFooter>
    <oddFooter>&amp;LDémonstration — données fictives&amp;RPage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0"/>
  <sheetViews>
    <sheetView showGridLines="0" workbookViewId="0">
      <pane ySplit="1" topLeftCell="A2" activePane="bottomLeft" state="frozen"/>
      <selection pane="bottomLeft"/>
    </sheetView>
  </sheetViews>
  <sheetFormatPr defaultRowHeight="22" customHeight="1"/>
  <cols>
    <col min="1" max="1" width="36.7109375" customWidth="1"/>
    <col min="2" max="2" width="25.7109375" customWidth="1"/>
    <col min="3" max="3" width="75.7109375" customWidth="1"/>
  </cols>
  <sheetData>
    <row r="1" spans="1:22" ht="36" customHeight="1">
      <c r="A1" s="5" t="s">
        <v>0</v>
      </c>
      <c r="B1" s="5" t="s">
        <v>1</v>
      </c>
      <c r="C1" s="5" t="s">
        <v>2</v>
      </c>
      <c r="V1" s="3" t="s">
        <v>281</v>
      </c>
    </row>
    <row r="2" spans="1:22" ht="22" customHeight="1">
      <c r="A2" s="4" t="s">
        <v>3</v>
      </c>
      <c r="B2" s="6">
        <v>46266</v>
      </c>
      <c r="C2" s="4" t="s">
        <v>4</v>
      </c>
    </row>
    <row r="3" spans="1:22" ht="22" customHeight="1">
      <c r="A3" s="4" t="s">
        <v>5</v>
      </c>
      <c r="B3" s="6">
        <v>46630</v>
      </c>
      <c r="C3" s="4" t="s">
        <v>6</v>
      </c>
    </row>
    <row r="4" spans="1:22" ht="22" customHeight="1">
      <c r="A4" s="4" t="s">
        <v>7</v>
      </c>
      <c r="B4" s="6">
        <v>45901</v>
      </c>
      <c r="C4" s="4" t="s">
        <v>8</v>
      </c>
    </row>
    <row r="5" spans="1:22" ht="22" customHeight="1">
      <c r="A5" s="4" t="s">
        <v>9</v>
      </c>
      <c r="B5" s="7">
        <v>0.05</v>
      </c>
      <c r="C5" s="4" t="s">
        <v>10</v>
      </c>
    </row>
    <row r="6" spans="1:22" ht="22" customHeight="1">
      <c r="A6" s="4" t="s">
        <v>11</v>
      </c>
      <c r="B6" s="8">
        <v>2026</v>
      </c>
      <c r="C6" s="4" t="s">
        <v>12</v>
      </c>
    </row>
    <row r="7" spans="1:22" ht="22" customHeight="1">
      <c r="A7" s="4" t="s">
        <v>13</v>
      </c>
      <c r="B7" s="6">
        <v>46279</v>
      </c>
      <c r="C7" s="4" t="s">
        <v>14</v>
      </c>
    </row>
    <row r="8" spans="1:22" ht="22" customHeight="1">
      <c r="A8" s="4" t="s">
        <v>15</v>
      </c>
      <c r="B8" s="6">
        <v>46266</v>
      </c>
      <c r="C8" s="4" t="s">
        <v>16</v>
      </c>
    </row>
    <row r="9" spans="1:22" ht="22" customHeight="1">
      <c r="A9" s="4" t="s">
        <v>17</v>
      </c>
      <c r="B9" s="8" t="s">
        <v>19</v>
      </c>
      <c r="C9" s="4" t="s">
        <v>18</v>
      </c>
    </row>
    <row r="10" spans="1:22" ht="22" customHeight="1">
      <c r="A10" s="4" t="s">
        <v>20</v>
      </c>
      <c r="B10" s="8">
        <v>300</v>
      </c>
      <c r="C10" s="4" t="s">
        <v>21</v>
      </c>
    </row>
  </sheetData>
  <dataValidations count="6">
    <dataValidation type="date" allowBlank="1" showInputMessage="1" showErrorMessage="1" errorTitle="Valeur à corriger" error="Utilisez une valeur autorisée; consultez le guide." sqref="B2">
      <formula1>43831</formula1>
      <formula2>51501</formula2>
    </dataValidation>
    <dataValidation type="custom" allowBlank="1" showInputMessage="1" showErrorMessage="1" errorTitle="Valeur à corriger" error="Utilisez une valeur autorisée; consultez le guide." sqref="B3">
      <formula1>AND(ISNUMBER(B3),B3&gt;=B2)</formula1>
    </dataValidation>
    <dataValidation type="custom" allowBlank="1" showInputMessage="1" showErrorMessage="1" errorTitle="Valeur à corriger" error="Utilisez une valeur autorisée; consultez le guide." sqref="B4">
      <formula1>AND(ISNUMBER(B4),B4&lt;B2)</formula1>
    </dataValidation>
    <dataValidation type="decimal" allowBlank="1" showInputMessage="1" showErrorMessage="1" errorTitle="Valeur à corriger" error="Utilisez une valeur autorisée; consultez le guide." sqref="B5">
      <formula1>0</formula1>
      <formula2>1</formula2>
    </dataValidation>
    <dataValidation type="whole" allowBlank="1" showInputMessage="1" showErrorMessage="1" errorTitle="Valeur à corriger" error="Utilisez une valeur autorisée; consultez le guide." sqref="B6">
      <formula1>2020</formula1>
      <formula2>2040</formula2>
    </dataValidation>
    <dataValidation type="date" allowBlank="1" showInputMessage="1" showErrorMessage="1" errorTitle="Valeur à corriger" error="Utilisez une valeur autorisée; consultez le guide." sqref="B7:B8">
      <formula1>43831</formula1>
      <formula2>51501</formula2>
    </dataValidation>
  </dataValidations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"/>
  <sheetViews>
    <sheetView showGridLines="0" workbookViewId="0">
      <pane ySplit="1" topLeftCell="A2" activePane="bottomLeft" state="frozen"/>
      <selection pane="bottomLeft"/>
    </sheetView>
  </sheetViews>
  <sheetFormatPr defaultRowHeight="22" customHeight="1"/>
  <cols>
    <col min="1" max="1" width="18.7109375" customWidth="1"/>
    <col min="2" max="2" width="28.7109375" customWidth="1"/>
    <col min="3" max="8" width="21.7109375" customWidth="1"/>
  </cols>
  <sheetData>
    <row r="1" spans="1:22" ht="36" customHeight="1">
      <c r="A1" s="5" t="s">
        <v>22</v>
      </c>
      <c r="B1" s="5" t="s">
        <v>23</v>
      </c>
      <c r="C1" s="5" t="s">
        <v>24</v>
      </c>
      <c r="D1" s="5" t="s">
        <v>25</v>
      </c>
      <c r="E1" s="5" t="s">
        <v>26</v>
      </c>
      <c r="F1" s="5" t="s">
        <v>27</v>
      </c>
      <c r="G1" s="5" t="s">
        <v>28</v>
      </c>
      <c r="H1" s="5" t="s">
        <v>29</v>
      </c>
      <c r="V1" s="3" t="s">
        <v>281</v>
      </c>
    </row>
    <row r="2" spans="1:22" ht="22" customHeight="1">
      <c r="A2" s="8" t="s">
        <v>30</v>
      </c>
      <c r="B2" s="8" t="s">
        <v>31</v>
      </c>
      <c r="C2" s="8">
        <v>180</v>
      </c>
      <c r="D2" s="8">
        <v>80</v>
      </c>
      <c r="E2" s="9" t="s">
        <v>36</v>
      </c>
      <c r="F2" s="9" t="s">
        <v>40</v>
      </c>
      <c r="G2" s="9" t="s">
        <v>42</v>
      </c>
      <c r="H2" s="9" t="s">
        <v>45</v>
      </c>
    </row>
    <row r="3" spans="1:22" ht="22" customHeight="1">
      <c r="A3" s="8" t="s">
        <v>32</v>
      </c>
      <c r="B3" s="8" t="s">
        <v>33</v>
      </c>
      <c r="C3" s="8">
        <v>120</v>
      </c>
      <c r="D3" s="8">
        <v>80</v>
      </c>
      <c r="E3" s="9" t="s">
        <v>37</v>
      </c>
      <c r="F3" s="9" t="s">
        <v>41</v>
      </c>
      <c r="G3" s="9" t="s">
        <v>43</v>
      </c>
      <c r="H3" s="9" t="s">
        <v>46</v>
      </c>
    </row>
    <row r="4" spans="1:22" ht="22" customHeight="1">
      <c r="A4" s="8" t="s">
        <v>34</v>
      </c>
      <c r="B4" s="8" t="s">
        <v>35</v>
      </c>
      <c r="C4" s="8">
        <v>100</v>
      </c>
      <c r="D4" s="8">
        <v>80</v>
      </c>
      <c r="E4" s="9" t="s">
        <v>38</v>
      </c>
      <c r="G4" s="9" t="s">
        <v>44</v>
      </c>
    </row>
    <row r="5" spans="1:22" ht="22" customHeight="1">
      <c r="E5" s="9" t="s">
        <v>39</v>
      </c>
    </row>
  </sheetData>
  <dataValidations count="1">
    <dataValidation type="decimal" operator="greaterThanOrEqual" allowBlank="1" showInputMessage="1" showErrorMessage="1" errorTitle="Valeur à corriger" error="Utilisez une valeur autorisée; consultez le guide." sqref="C2:D4">
      <formula1>0</formula1>
    </dataValidation>
  </dataValidations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1"/>
  <sheetViews>
    <sheetView showGridLines="0" workbookViewId="0">
      <pane ySplit="1" topLeftCell="A2" activePane="bottomLeft" state="frozen"/>
      <selection pane="bottomLeft"/>
    </sheetView>
  </sheetViews>
  <sheetFormatPr defaultRowHeight="22" customHeight="1"/>
  <cols>
    <col min="1" max="3" width="16.7109375" customWidth="1"/>
    <col min="4" max="9" width="23.7109375" customWidth="1"/>
    <col min="10" max="11" width="16.7109375" customWidth="1"/>
    <col min="12" max="13" width="27.7109375" customWidth="1"/>
  </cols>
  <sheetData>
    <row r="1" spans="1:22" ht="36" customHeight="1">
      <c r="A1" s="5" t="s">
        <v>47</v>
      </c>
      <c r="B1" s="5" t="s">
        <v>48</v>
      </c>
      <c r="C1" s="5" t="s">
        <v>49</v>
      </c>
      <c r="D1" s="5" t="s">
        <v>50</v>
      </c>
      <c r="E1" s="5" t="s">
        <v>51</v>
      </c>
      <c r="F1" s="5" t="s">
        <v>52</v>
      </c>
      <c r="G1" s="5" t="s">
        <v>53</v>
      </c>
      <c r="H1" s="5" t="s">
        <v>54</v>
      </c>
      <c r="I1" s="5" t="s">
        <v>55</v>
      </c>
      <c r="J1" s="5" t="s">
        <v>56</v>
      </c>
      <c r="K1" s="5" t="s">
        <v>57</v>
      </c>
      <c r="L1" s="5" t="s">
        <v>58</v>
      </c>
      <c r="M1" s="5" t="s">
        <v>59</v>
      </c>
      <c r="V1" s="3" t="s">
        <v>281</v>
      </c>
    </row>
    <row r="2" spans="1:22" ht="22" customHeight="1">
      <c r="A2" s="8" t="s">
        <v>60</v>
      </c>
      <c r="B2" s="8" t="s">
        <v>61</v>
      </c>
      <c r="C2" s="8" t="s">
        <v>62</v>
      </c>
      <c r="D2" s="8" t="s">
        <v>63</v>
      </c>
      <c r="E2" s="8" t="s">
        <v>64</v>
      </c>
      <c r="F2" s="8" t="s">
        <v>65</v>
      </c>
      <c r="G2" s="8" t="s">
        <v>66</v>
      </c>
      <c r="H2" s="8" t="s">
        <v>67</v>
      </c>
      <c r="I2" s="8" t="s">
        <v>68</v>
      </c>
      <c r="J2" s="8" t="s">
        <v>45</v>
      </c>
      <c r="K2" s="9" t="str">
        <f>IF(A2="","",IF(COUNTIFS(RendezVous!$C$2:$C$301,A2,RendezVous!$E$2:$E$301,"Sexologie",RendezVous!$I$2:$I$301,"Réalisé",RendezVous!$B$2:$B$301,"&gt;="&amp;Parametres!$B$4,RendezVous!$B$2:$B$301,"&lt;"&amp;Parametres!$B$2)&gt;0,"Oui","Non"))</f>
        <v>Oui</v>
      </c>
      <c r="L2" s="9" t="str">
        <f>IF(A2="","",B2&amp;" "&amp;C2)</f>
        <v>Camille Exemple</v>
      </c>
      <c r="M2" s="9" t="str">
        <f>IF(A2="","",IF(COUNTIF($A$2:$A$51,A2)&gt;1,"DOUBLON ID",IF(OR(B2="",C2="",D2="",E2="",G2=""),"Adresse incomplète","OK")))</f>
        <v>OK</v>
      </c>
    </row>
    <row r="3" spans="1:22" ht="22" customHeight="1">
      <c r="A3" s="8" t="s">
        <v>69</v>
      </c>
      <c r="B3" s="8" t="s">
        <v>70</v>
      </c>
      <c r="C3" s="8" t="s">
        <v>71</v>
      </c>
      <c r="D3" s="8" t="s">
        <v>72</v>
      </c>
      <c r="E3" s="8" t="s">
        <v>64</v>
      </c>
      <c r="F3" s="8" t="s">
        <v>65</v>
      </c>
      <c r="G3" s="8" t="s">
        <v>66</v>
      </c>
      <c r="H3" s="8" t="s">
        <v>67</v>
      </c>
      <c r="I3" s="8" t="s">
        <v>73</v>
      </c>
      <c r="J3" s="8" t="s">
        <v>45</v>
      </c>
      <c r="K3" s="9" t="str">
        <f>IF(A3="","",IF(COUNTIFS(RendezVous!$C$2:$C$301,A3,RendezVous!$E$2:$E$301,"Sexologie",RendezVous!$I$2:$I$301,"Réalisé",RendezVous!$B$2:$B$301,"&gt;="&amp;Parametres!$B$4,RendezVous!$B$2:$B$301,"&lt;"&amp;Parametres!$B$2)&gt;0,"Oui","Non"))</f>
        <v>Oui</v>
      </c>
      <c r="L3" s="9" t="str">
        <f>IF(A3="","",B3&amp;" "&amp;C3)</f>
        <v>Alex Démo</v>
      </c>
      <c r="M3" s="9" t="str">
        <f>IF(A3="","",IF(COUNTIF($A$2:$A$51,A3)&gt;1,"DOUBLON ID",IF(OR(B3="",C3="",D3="",E3="",G3=""),"Adresse incomplète","OK")))</f>
        <v>OK</v>
      </c>
    </row>
    <row r="4" spans="1:22" ht="22" customHeight="1">
      <c r="A4" s="8" t="s">
        <v>74</v>
      </c>
      <c r="B4" s="8" t="s">
        <v>75</v>
      </c>
      <c r="C4" s="8" t="s">
        <v>76</v>
      </c>
      <c r="D4" s="8" t="s">
        <v>77</v>
      </c>
      <c r="E4" s="8" t="s">
        <v>64</v>
      </c>
      <c r="F4" s="8" t="s">
        <v>65</v>
      </c>
      <c r="G4" s="8" t="s">
        <v>66</v>
      </c>
      <c r="H4" s="8" t="s">
        <v>67</v>
      </c>
      <c r="I4" s="8" t="s">
        <v>78</v>
      </c>
      <c r="J4" s="8" t="s">
        <v>45</v>
      </c>
      <c r="K4" s="9" t="str">
        <f>IF(A4="","",IF(COUNTIFS(RendezVous!$C$2:$C$301,A4,RendezVous!$E$2:$E$301,"Sexologie",RendezVous!$I$2:$I$301,"Réalisé",RendezVous!$B$2:$B$301,"&gt;="&amp;Parametres!$B$4,RendezVous!$B$2:$B$301,"&lt;"&amp;Parametres!$B$2)&gt;0,"Oui","Non"))</f>
        <v>Non</v>
      </c>
      <c r="L4" s="9" t="str">
        <f>IF(A4="","",B4&amp;" "&amp;C4)</f>
        <v>Claude Essai</v>
      </c>
      <c r="M4" s="9" t="str">
        <f>IF(A4="","",IF(COUNTIF($A$2:$A$51,A4)&gt;1,"DOUBLON ID",IF(OR(B4="",C4="",D4="",E4="",G4=""),"Adresse incomplète","OK")))</f>
        <v>OK</v>
      </c>
    </row>
    <row r="5" spans="1:22" ht="22" customHeight="1">
      <c r="A5" s="8" t="s">
        <v>79</v>
      </c>
      <c r="B5" s="8" t="s">
        <v>80</v>
      </c>
      <c r="C5" s="8" t="s">
        <v>81</v>
      </c>
      <c r="D5" s="8" t="s">
        <v>82</v>
      </c>
      <c r="E5" s="8" t="s">
        <v>64</v>
      </c>
      <c r="F5" s="8" t="s">
        <v>65</v>
      </c>
      <c r="G5" s="8" t="s">
        <v>66</v>
      </c>
      <c r="H5" s="8" t="s">
        <v>67</v>
      </c>
      <c r="I5" s="8" t="s">
        <v>83</v>
      </c>
      <c r="J5" s="8" t="s">
        <v>45</v>
      </c>
      <c r="K5" s="9" t="str">
        <f>IF(A5="","",IF(COUNTIFS(RendezVous!$C$2:$C$301,A5,RendezVous!$E$2:$E$301,"Sexologie",RendezVous!$I$2:$I$301,"Réalisé",RendezVous!$B$2:$B$301,"&gt;="&amp;Parametres!$B$4,RendezVous!$B$2:$B$301,"&lt;"&amp;Parametres!$B$2)&gt;0,"Oui","Non"))</f>
        <v>Non</v>
      </c>
      <c r="L5" s="9" t="str">
        <f>IF(A5="","",B5&amp;" "&amp;C5)</f>
        <v>Lou Modèle</v>
      </c>
      <c r="M5" s="9" t="str">
        <f>IF(A5="","",IF(COUNTIF($A$2:$A$51,A5)&gt;1,"DOUBLON ID",IF(OR(B5="",C5="",D5="",E5="",G5=""),"Adresse incomplète","OK")))</f>
        <v>OK</v>
      </c>
    </row>
    <row r="6" spans="1:22" ht="22" customHeight="1">
      <c r="A6" s="8" t="s">
        <v>84</v>
      </c>
      <c r="B6" s="8" t="s">
        <v>85</v>
      </c>
      <c r="C6" s="8" t="s">
        <v>86</v>
      </c>
      <c r="D6" s="8" t="s">
        <v>87</v>
      </c>
      <c r="E6" s="8" t="s">
        <v>64</v>
      </c>
      <c r="F6" s="8" t="s">
        <v>65</v>
      </c>
      <c r="G6" s="8" t="s">
        <v>66</v>
      </c>
      <c r="H6" s="8" t="s">
        <v>67</v>
      </c>
      <c r="I6" s="8" t="s">
        <v>88</v>
      </c>
      <c r="J6" s="8" t="s">
        <v>45</v>
      </c>
      <c r="K6" s="9" t="str">
        <f>IF(A6="","",IF(COUNTIFS(RendezVous!$C$2:$C$301,A6,RendezVous!$E$2:$E$301,"Sexologie",RendezVous!$I$2:$I$301,"Réalisé",RendezVous!$B$2:$B$301,"&gt;="&amp;Parametres!$B$4,RendezVous!$B$2:$B$301,"&lt;"&amp;Parametres!$B$2)&gt;0,"Oui","Non"))</f>
        <v>Non</v>
      </c>
      <c r="L6" s="9" t="str">
        <f>IF(A6="","",B6&amp;" "&amp;C6)</f>
        <v>Dominique Fictif</v>
      </c>
      <c r="M6" s="9" t="str">
        <f>IF(A6="","",IF(COUNTIF($A$2:$A$51,A6)&gt;1,"DOUBLON ID",IF(OR(B6="",C6="",D6="",E6="",G6=""),"Adresse incomplète","OK")))</f>
        <v>OK</v>
      </c>
    </row>
    <row r="7" spans="1:22" ht="22" customHeight="1">
      <c r="A7" s="8" t="s">
        <v>89</v>
      </c>
      <c r="B7" s="8" t="s">
        <v>90</v>
      </c>
      <c r="C7" s="8" t="s">
        <v>91</v>
      </c>
      <c r="D7" s="8" t="s">
        <v>92</v>
      </c>
      <c r="E7" s="8" t="s">
        <v>64</v>
      </c>
      <c r="F7" s="8" t="s">
        <v>65</v>
      </c>
      <c r="G7" s="8" t="s">
        <v>66</v>
      </c>
      <c r="H7" s="8" t="s">
        <v>67</v>
      </c>
      <c r="I7" s="8" t="s">
        <v>93</v>
      </c>
      <c r="J7" s="8" t="s">
        <v>45</v>
      </c>
      <c r="K7" s="9" t="str">
        <f>IF(A7="","",IF(COUNTIFS(RendezVous!$C$2:$C$301,A7,RendezVous!$E$2:$E$301,"Sexologie",RendezVous!$I$2:$I$301,"Réalisé",RendezVous!$B$2:$B$301,"&gt;="&amp;Parametres!$B$4,RendezVous!$B$2:$B$301,"&lt;"&amp;Parametres!$B$2)&gt;0,"Oui","Non"))</f>
        <v>Non</v>
      </c>
      <c r="L7" s="9" t="str">
        <f>IF(A7="","",B7&amp;" "&amp;C7)</f>
        <v>Sacha Témoin</v>
      </c>
      <c r="M7" s="9" t="str">
        <f>IF(A7="","",IF(COUNTIF($A$2:$A$51,A7)&gt;1,"DOUBLON ID",IF(OR(B7="",C7="",D7="",E7="",G7=""),"Adresse incomplète","OK")))</f>
        <v>OK</v>
      </c>
    </row>
    <row r="8" spans="1:22" ht="22" customHeight="1">
      <c r="A8" s="8" t="s">
        <v>94</v>
      </c>
      <c r="B8" s="8" t="s">
        <v>95</v>
      </c>
      <c r="C8" s="8" t="s">
        <v>96</v>
      </c>
      <c r="D8" s="8" t="s">
        <v>97</v>
      </c>
      <c r="E8" s="8" t="s">
        <v>64</v>
      </c>
      <c r="F8" s="8" t="s">
        <v>65</v>
      </c>
      <c r="G8" s="8" t="s">
        <v>66</v>
      </c>
      <c r="H8" s="8" t="s">
        <v>67</v>
      </c>
      <c r="I8" s="8" t="s">
        <v>98</v>
      </c>
      <c r="J8" s="8" t="s">
        <v>45</v>
      </c>
      <c r="K8" s="9" t="str">
        <f>IF(A8="","",IF(COUNTIFS(RendezVous!$C$2:$C$301,A8,RendezVous!$E$2:$E$301,"Sexologie",RendezVous!$I$2:$I$301,"Réalisé",RendezVous!$B$2:$B$301,"&gt;="&amp;Parametres!$B$4,RendezVous!$B$2:$B$301,"&lt;"&amp;Parametres!$B$2)&gt;0,"Oui","Non"))</f>
        <v>Oui</v>
      </c>
      <c r="L8" s="9" t="str">
        <f>IF(A8="","",B8&amp;" "&amp;C8)</f>
        <v>Charlie Test</v>
      </c>
      <c r="M8" s="9" t="str">
        <f>IF(A8="","",IF(COUNTIF($A$2:$A$51,A8)&gt;1,"DOUBLON ID",IF(OR(B8="",C8="",D8="",E8="",G8=""),"Adresse incomplète","OK")))</f>
        <v>OK</v>
      </c>
    </row>
    <row r="9" spans="1:22" ht="22" customHeight="1">
      <c r="A9" s="8" t="s">
        <v>99</v>
      </c>
      <c r="B9" s="8" t="s">
        <v>100</v>
      </c>
      <c r="C9" s="8" t="s">
        <v>101</v>
      </c>
      <c r="D9" s="8" t="s">
        <v>102</v>
      </c>
      <c r="E9" s="8" t="s">
        <v>64</v>
      </c>
      <c r="F9" s="8" t="s">
        <v>65</v>
      </c>
      <c r="G9" s="8" t="s">
        <v>66</v>
      </c>
      <c r="H9" s="8" t="s">
        <v>67</v>
      </c>
      <c r="I9" s="8" t="s">
        <v>103</v>
      </c>
      <c r="J9" s="8" t="s">
        <v>45</v>
      </c>
      <c r="K9" s="9" t="str">
        <f>IF(A9="","",IF(COUNTIFS(RendezVous!$C$2:$C$301,A9,RendezVous!$E$2:$E$301,"Sexologie",RendezVous!$I$2:$I$301,"Réalisé",RendezVous!$B$2:$B$301,"&gt;="&amp;Parametres!$B$4,RendezVous!$B$2:$B$301,"&lt;"&amp;Parametres!$B$2)&gt;0,"Oui","Non"))</f>
        <v>Oui</v>
      </c>
      <c r="L9" s="9" t="str">
        <f>IF(A9="","",B9&amp;" "&amp;C9)</f>
        <v>Maxime Simulation</v>
      </c>
      <c r="M9" s="9" t="str">
        <f>IF(A9="","",IF(COUNTIF($A$2:$A$51,A9)&gt;1,"DOUBLON ID",IF(OR(B9="",C9="",D9="",E9="",G9=""),"Adresse incomplète","OK")))</f>
        <v>OK</v>
      </c>
    </row>
    <row r="10" spans="1:22" ht="22" customHeight="1">
      <c r="A10" s="8" t="s">
        <v>104</v>
      </c>
      <c r="B10" s="8" t="s">
        <v>105</v>
      </c>
      <c r="C10" s="8" t="s">
        <v>106</v>
      </c>
      <c r="D10" s="8" t="s">
        <v>107</v>
      </c>
      <c r="E10" s="8" t="s">
        <v>64</v>
      </c>
      <c r="F10" s="8" t="s">
        <v>65</v>
      </c>
      <c r="G10" s="8" t="s">
        <v>66</v>
      </c>
      <c r="H10" s="8" t="s">
        <v>67</v>
      </c>
      <c r="I10" s="8" t="s">
        <v>108</v>
      </c>
      <c r="J10" s="8" t="s">
        <v>46</v>
      </c>
      <c r="K10" s="9" t="str">
        <f>IF(A10="","",IF(COUNTIFS(RendezVous!$C$2:$C$301,A10,RendezVous!$E$2:$E$301,"Sexologie",RendezVous!$I$2:$I$301,"Réalisé",RendezVous!$B$2:$B$301,"&gt;="&amp;Parametres!$B$4,RendezVous!$B$2:$B$301,"&lt;"&amp;Parametres!$B$2)&gt;0,"Oui","Non"))</f>
        <v>Oui</v>
      </c>
      <c r="L10" s="9" t="str">
        <f>IF(A10="","",B10&amp;" "&amp;C10)</f>
        <v>Robin Échantillon</v>
      </c>
      <c r="M10" s="9" t="str">
        <f>IF(A10="","",IF(COUNTIF($A$2:$A$51,A10)&gt;1,"DOUBLON ID",IF(OR(B10="",C10="",D10="",E10="",G10=""),"Adresse incomplète","OK")))</f>
        <v>OK</v>
      </c>
    </row>
    <row r="11" spans="1:22" ht="22" customHeight="1">
      <c r="A11" s="8" t="s">
        <v>109</v>
      </c>
      <c r="B11" s="8" t="s">
        <v>110</v>
      </c>
      <c r="C11" s="8" t="s">
        <v>111</v>
      </c>
      <c r="D11" s="8" t="s">
        <v>112</v>
      </c>
      <c r="E11" s="8" t="s">
        <v>64</v>
      </c>
      <c r="F11" s="8" t="s">
        <v>65</v>
      </c>
      <c r="G11" s="8" t="s">
        <v>66</v>
      </c>
      <c r="H11" s="8" t="s">
        <v>67</v>
      </c>
      <c r="I11" s="8" t="s">
        <v>113</v>
      </c>
      <c r="J11" s="8" t="s">
        <v>45</v>
      </c>
      <c r="K11" s="9" t="str">
        <f>IF(A11="","",IF(COUNTIFS(RendezVous!$C$2:$C$301,A11,RendezVous!$E$2:$E$301,"Sexologie",RendezVous!$I$2:$I$301,"Réalisé",RendezVous!$B$2:$B$301,"&gt;="&amp;Parametres!$B$4,RendezVous!$B$2:$B$301,"&lt;"&amp;Parametres!$B$2)&gt;0,"Oui","Non"))</f>
        <v>Non</v>
      </c>
      <c r="L11" s="9" t="str">
        <f>IF(A11="","",B11&amp;" "&amp;C11)</f>
        <v>Noa Prototype</v>
      </c>
      <c r="M11" s="9" t="str">
        <f>IF(A11="","",IF(COUNTIF($A$2:$A$51,A11)&gt;1,"DOUBLON ID",IF(OR(B11="",C11="",D11="",E11="",G11=""),"Adresse incomplète","OK")))</f>
        <v>OK</v>
      </c>
    </row>
    <row r="12" spans="1:22" ht="22" customHeight="1">
      <c r="A12" s="8" t="s">
        <v>114</v>
      </c>
      <c r="B12" s="8" t="s">
        <v>115</v>
      </c>
      <c r="C12" s="8" t="s">
        <v>116</v>
      </c>
      <c r="D12" s="8" t="s">
        <v>117</v>
      </c>
      <c r="E12" s="8" t="s">
        <v>64</v>
      </c>
      <c r="F12" s="8" t="s">
        <v>65</v>
      </c>
      <c r="G12" s="8" t="s">
        <v>66</v>
      </c>
      <c r="H12" s="8" t="s">
        <v>67</v>
      </c>
      <c r="I12" s="8" t="s">
        <v>118</v>
      </c>
      <c r="J12" s="8" t="s">
        <v>45</v>
      </c>
      <c r="K12" s="9" t="str">
        <f>IF(A12="","",IF(COUNTIFS(RendezVous!$C$2:$C$301,A12,RendezVous!$E$2:$E$301,"Sexologie",RendezVous!$I$2:$I$301,"Réalisé",RendezVous!$B$2:$B$301,"&gt;="&amp;Parametres!$B$4,RendezVous!$B$2:$B$301,"&lt;"&amp;Parametres!$B$2)&gt;0,"Oui","Non"))</f>
        <v>Non</v>
      </c>
      <c r="L12" s="9" t="str">
        <f>IF(A12="","",B12&amp;" "&amp;C12)</f>
        <v>Morgan Vérification</v>
      </c>
      <c r="M12" s="9" t="str">
        <f>IF(A12="","",IF(COUNTIF($A$2:$A$51,A12)&gt;1,"DOUBLON ID",IF(OR(B12="",C12="",D12="",E12="",G12=""),"Adresse incomplète","OK")))</f>
        <v>OK</v>
      </c>
    </row>
    <row r="13" spans="1:22" ht="22" customHeight="1">
      <c r="A13" s="8" t="s">
        <v>119</v>
      </c>
      <c r="B13" s="8" t="s">
        <v>120</v>
      </c>
      <c r="C13" s="8" t="s">
        <v>121</v>
      </c>
      <c r="D13" s="8" t="s">
        <v>122</v>
      </c>
      <c r="E13" s="8" t="s">
        <v>64</v>
      </c>
      <c r="F13" s="8" t="s">
        <v>65</v>
      </c>
      <c r="G13" s="8" t="s">
        <v>66</v>
      </c>
      <c r="H13" s="8" t="s">
        <v>67</v>
      </c>
      <c r="I13" s="8" t="s">
        <v>123</v>
      </c>
      <c r="J13" s="8" t="s">
        <v>45</v>
      </c>
      <c r="K13" s="9" t="str">
        <f>IF(A13="","",IF(COUNTIFS(RendezVous!$C$2:$C$301,A13,RendezVous!$E$2:$E$301,"Sexologie",RendezVous!$I$2:$I$301,"Réalisé",RendezVous!$B$2:$B$301,"&gt;="&amp;Parametres!$B$4,RendezVous!$B$2:$B$301,"&lt;"&amp;Parametres!$B$2)&gt;0,"Oui","Non"))</f>
        <v>Oui</v>
      </c>
      <c r="L13" s="9" t="str">
        <f>IF(A13="","",B13&amp;" "&amp;C13)</f>
        <v>Alix Démonstration</v>
      </c>
      <c r="M13" s="9" t="str">
        <f>IF(A13="","",IF(COUNTIF($A$2:$A$51,A13)&gt;1,"DOUBLON ID",IF(OR(B13="",C13="",D13="",E13="",G13=""),"Adresse incomplète","OK")))</f>
        <v>OK</v>
      </c>
    </row>
    <row r="14" spans="1:22" ht="22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9">
        <f>IF(A14="","",IF(COUNTIFS(RendezVous!$C$2:$C$301,A14,RendezVous!$E$2:$E$301,"Sexologie",RendezVous!$I$2:$I$301,"Réalisé",RendezVous!$B$2:$B$301,"&gt;="&amp;Parametres!$B$4,RendezVous!$B$2:$B$301,"&lt;"&amp;Parametres!$B$2)&gt;0,"Oui","Non"))</f>
        <v/>
      </c>
      <c r="L14" s="9">
        <f>IF(A14="","",B14&amp;" "&amp;C14)</f>
        <v/>
      </c>
      <c r="M14" s="9">
        <f>IF(A14="","",IF(COUNTIF($A$2:$A$51,A14)&gt;1,"DOUBLON ID",IF(OR(B14="",C14="",D14="",E14="",G14=""),"Adresse incomplète","OK")))</f>
        <v/>
      </c>
    </row>
    <row r="15" spans="1:22" ht="22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9">
        <f>IF(A15="","",IF(COUNTIFS(RendezVous!$C$2:$C$301,A15,RendezVous!$E$2:$E$301,"Sexologie",RendezVous!$I$2:$I$301,"Réalisé",RendezVous!$B$2:$B$301,"&gt;="&amp;Parametres!$B$4,RendezVous!$B$2:$B$301,"&lt;"&amp;Parametres!$B$2)&gt;0,"Oui","Non"))</f>
        <v/>
      </c>
      <c r="L15" s="9">
        <f>IF(A15="","",B15&amp;" "&amp;C15)</f>
        <v/>
      </c>
      <c r="M15" s="9">
        <f>IF(A15="","",IF(COUNTIF($A$2:$A$51,A15)&gt;1,"DOUBLON ID",IF(OR(B15="",C15="",D15="",E15="",G15=""),"Adresse incomplète","OK")))</f>
        <v/>
      </c>
    </row>
    <row r="16" spans="1:22" ht="22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9">
        <f>IF(A16="","",IF(COUNTIFS(RendezVous!$C$2:$C$301,A16,RendezVous!$E$2:$E$301,"Sexologie",RendezVous!$I$2:$I$301,"Réalisé",RendezVous!$B$2:$B$301,"&gt;="&amp;Parametres!$B$4,RendezVous!$B$2:$B$301,"&lt;"&amp;Parametres!$B$2)&gt;0,"Oui","Non"))</f>
        <v/>
      </c>
      <c r="L16" s="9">
        <f>IF(A16="","",B16&amp;" "&amp;C16)</f>
        <v/>
      </c>
      <c r="M16" s="9">
        <f>IF(A16="","",IF(COUNTIF($A$2:$A$51,A16)&gt;1,"DOUBLON ID",IF(OR(B16="",C16="",D16="",E16="",G16=""),"Adresse incomplète","OK")))</f>
        <v/>
      </c>
    </row>
    <row r="17" spans="1:13" ht="22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9">
        <f>IF(A17="","",IF(COUNTIFS(RendezVous!$C$2:$C$301,A17,RendezVous!$E$2:$E$301,"Sexologie",RendezVous!$I$2:$I$301,"Réalisé",RendezVous!$B$2:$B$301,"&gt;="&amp;Parametres!$B$4,RendezVous!$B$2:$B$301,"&lt;"&amp;Parametres!$B$2)&gt;0,"Oui","Non"))</f>
        <v/>
      </c>
      <c r="L17" s="9">
        <f>IF(A17="","",B17&amp;" "&amp;C17)</f>
        <v/>
      </c>
      <c r="M17" s="9">
        <f>IF(A17="","",IF(COUNTIF($A$2:$A$51,A17)&gt;1,"DOUBLON ID",IF(OR(B17="",C17="",D17="",E17="",G17=""),"Adresse incomplète","OK")))</f>
        <v/>
      </c>
    </row>
    <row r="18" spans="1:13" ht="22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9">
        <f>IF(A18="","",IF(COUNTIFS(RendezVous!$C$2:$C$301,A18,RendezVous!$E$2:$E$301,"Sexologie",RendezVous!$I$2:$I$301,"Réalisé",RendezVous!$B$2:$B$301,"&gt;="&amp;Parametres!$B$4,RendezVous!$B$2:$B$301,"&lt;"&amp;Parametres!$B$2)&gt;0,"Oui","Non"))</f>
        <v/>
      </c>
      <c r="L18" s="9">
        <f>IF(A18="","",B18&amp;" "&amp;C18)</f>
        <v/>
      </c>
      <c r="M18" s="9">
        <f>IF(A18="","",IF(COUNTIF($A$2:$A$51,A18)&gt;1,"DOUBLON ID",IF(OR(B18="",C18="",D18="",E18="",G18=""),"Adresse incomplète","OK")))</f>
        <v/>
      </c>
    </row>
    <row r="19" spans="1:13" ht="22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9">
        <f>IF(A19="","",IF(COUNTIFS(RendezVous!$C$2:$C$301,A19,RendezVous!$E$2:$E$301,"Sexologie",RendezVous!$I$2:$I$301,"Réalisé",RendezVous!$B$2:$B$301,"&gt;="&amp;Parametres!$B$4,RendezVous!$B$2:$B$301,"&lt;"&amp;Parametres!$B$2)&gt;0,"Oui","Non"))</f>
        <v/>
      </c>
      <c r="L19" s="9">
        <f>IF(A19="","",B19&amp;" "&amp;C19)</f>
        <v/>
      </c>
      <c r="M19" s="9">
        <f>IF(A19="","",IF(COUNTIF($A$2:$A$51,A19)&gt;1,"DOUBLON ID",IF(OR(B19="",C19="",D19="",E19="",G19=""),"Adresse incomplète","OK")))</f>
        <v/>
      </c>
    </row>
    <row r="20" spans="1:13" ht="22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9">
        <f>IF(A20="","",IF(COUNTIFS(RendezVous!$C$2:$C$301,A20,RendezVous!$E$2:$E$301,"Sexologie",RendezVous!$I$2:$I$301,"Réalisé",RendezVous!$B$2:$B$301,"&gt;="&amp;Parametres!$B$4,RendezVous!$B$2:$B$301,"&lt;"&amp;Parametres!$B$2)&gt;0,"Oui","Non"))</f>
        <v/>
      </c>
      <c r="L20" s="9">
        <f>IF(A20="","",B20&amp;" "&amp;C20)</f>
        <v/>
      </c>
      <c r="M20" s="9">
        <f>IF(A20="","",IF(COUNTIF($A$2:$A$51,A20)&gt;1,"DOUBLON ID",IF(OR(B20="",C20="",D20="",E20="",G20=""),"Adresse incomplète","OK")))</f>
        <v/>
      </c>
    </row>
    <row r="21" spans="1:13" ht="22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9">
        <f>IF(A21="","",IF(COUNTIFS(RendezVous!$C$2:$C$301,A21,RendezVous!$E$2:$E$301,"Sexologie",RendezVous!$I$2:$I$301,"Réalisé",RendezVous!$B$2:$B$301,"&gt;="&amp;Parametres!$B$4,RendezVous!$B$2:$B$301,"&lt;"&amp;Parametres!$B$2)&gt;0,"Oui","Non"))</f>
        <v/>
      </c>
      <c r="L21" s="9">
        <f>IF(A21="","",B21&amp;" "&amp;C21)</f>
        <v/>
      </c>
      <c r="M21" s="9">
        <f>IF(A21="","",IF(COUNTIF($A$2:$A$51,A21)&gt;1,"DOUBLON ID",IF(OR(B21="",C21="",D21="",E21="",G21=""),"Adresse incomplète","OK")))</f>
        <v/>
      </c>
    </row>
    <row r="22" spans="1:13" ht="22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9">
        <f>IF(A22="","",IF(COUNTIFS(RendezVous!$C$2:$C$301,A22,RendezVous!$E$2:$E$301,"Sexologie",RendezVous!$I$2:$I$301,"Réalisé",RendezVous!$B$2:$B$301,"&gt;="&amp;Parametres!$B$4,RendezVous!$B$2:$B$301,"&lt;"&amp;Parametres!$B$2)&gt;0,"Oui","Non"))</f>
        <v/>
      </c>
      <c r="L22" s="9">
        <f>IF(A22="","",B22&amp;" "&amp;C22)</f>
        <v/>
      </c>
      <c r="M22" s="9">
        <f>IF(A22="","",IF(COUNTIF($A$2:$A$51,A22)&gt;1,"DOUBLON ID",IF(OR(B22="",C22="",D22="",E22="",G22=""),"Adresse incomplète","OK")))</f>
        <v/>
      </c>
    </row>
    <row r="23" spans="1:13" ht="22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9">
        <f>IF(A23="","",IF(COUNTIFS(RendezVous!$C$2:$C$301,A23,RendezVous!$E$2:$E$301,"Sexologie",RendezVous!$I$2:$I$301,"Réalisé",RendezVous!$B$2:$B$301,"&gt;="&amp;Parametres!$B$4,RendezVous!$B$2:$B$301,"&lt;"&amp;Parametres!$B$2)&gt;0,"Oui","Non"))</f>
        <v/>
      </c>
      <c r="L23" s="9">
        <f>IF(A23="","",B23&amp;" "&amp;C23)</f>
        <v/>
      </c>
      <c r="M23" s="9">
        <f>IF(A23="","",IF(COUNTIF($A$2:$A$51,A23)&gt;1,"DOUBLON ID",IF(OR(B23="",C23="",D23="",E23="",G23=""),"Adresse incomplète","OK")))</f>
        <v/>
      </c>
    </row>
    <row r="24" spans="1:13" ht="22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9">
        <f>IF(A24="","",IF(COUNTIFS(RendezVous!$C$2:$C$301,A24,RendezVous!$E$2:$E$301,"Sexologie",RendezVous!$I$2:$I$301,"Réalisé",RendezVous!$B$2:$B$301,"&gt;="&amp;Parametres!$B$4,RendezVous!$B$2:$B$301,"&lt;"&amp;Parametres!$B$2)&gt;0,"Oui","Non"))</f>
        <v/>
      </c>
      <c r="L24" s="9">
        <f>IF(A24="","",B24&amp;" "&amp;C24)</f>
        <v/>
      </c>
      <c r="M24" s="9">
        <f>IF(A24="","",IF(COUNTIF($A$2:$A$51,A24)&gt;1,"DOUBLON ID",IF(OR(B24="",C24="",D24="",E24="",G24=""),"Adresse incomplète","OK")))</f>
        <v/>
      </c>
    </row>
    <row r="25" spans="1:13" ht="22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9">
        <f>IF(A25="","",IF(COUNTIFS(RendezVous!$C$2:$C$301,A25,RendezVous!$E$2:$E$301,"Sexologie",RendezVous!$I$2:$I$301,"Réalisé",RendezVous!$B$2:$B$301,"&gt;="&amp;Parametres!$B$4,RendezVous!$B$2:$B$301,"&lt;"&amp;Parametres!$B$2)&gt;0,"Oui","Non"))</f>
        <v/>
      </c>
      <c r="L25" s="9">
        <f>IF(A25="","",B25&amp;" "&amp;C25)</f>
        <v/>
      </c>
      <c r="M25" s="9">
        <f>IF(A25="","",IF(COUNTIF($A$2:$A$51,A25)&gt;1,"DOUBLON ID",IF(OR(B25="",C25="",D25="",E25="",G25=""),"Adresse incomplète","OK")))</f>
        <v/>
      </c>
    </row>
    <row r="26" spans="1:13" ht="22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9">
        <f>IF(A26="","",IF(COUNTIFS(RendezVous!$C$2:$C$301,A26,RendezVous!$E$2:$E$301,"Sexologie",RendezVous!$I$2:$I$301,"Réalisé",RendezVous!$B$2:$B$301,"&gt;="&amp;Parametres!$B$4,RendezVous!$B$2:$B$301,"&lt;"&amp;Parametres!$B$2)&gt;0,"Oui","Non"))</f>
        <v/>
      </c>
      <c r="L26" s="9">
        <f>IF(A26="","",B26&amp;" "&amp;C26)</f>
        <v/>
      </c>
      <c r="M26" s="9">
        <f>IF(A26="","",IF(COUNTIF($A$2:$A$51,A26)&gt;1,"DOUBLON ID",IF(OR(B26="",C26="",D26="",E26="",G26=""),"Adresse incomplète","OK")))</f>
        <v/>
      </c>
    </row>
    <row r="27" spans="1:13" ht="22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9">
        <f>IF(A27="","",IF(COUNTIFS(RendezVous!$C$2:$C$301,A27,RendezVous!$E$2:$E$301,"Sexologie",RendezVous!$I$2:$I$301,"Réalisé",RendezVous!$B$2:$B$301,"&gt;="&amp;Parametres!$B$4,RendezVous!$B$2:$B$301,"&lt;"&amp;Parametres!$B$2)&gt;0,"Oui","Non"))</f>
        <v/>
      </c>
      <c r="L27" s="9">
        <f>IF(A27="","",B27&amp;" "&amp;C27)</f>
        <v/>
      </c>
      <c r="M27" s="9">
        <f>IF(A27="","",IF(COUNTIF($A$2:$A$51,A27)&gt;1,"DOUBLON ID",IF(OR(B27="",C27="",D27="",E27="",G27=""),"Adresse incomplète","OK")))</f>
        <v/>
      </c>
    </row>
    <row r="28" spans="1:13" ht="22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9">
        <f>IF(A28="","",IF(COUNTIFS(RendezVous!$C$2:$C$301,A28,RendezVous!$E$2:$E$301,"Sexologie",RendezVous!$I$2:$I$301,"Réalisé",RendezVous!$B$2:$B$301,"&gt;="&amp;Parametres!$B$4,RendezVous!$B$2:$B$301,"&lt;"&amp;Parametres!$B$2)&gt;0,"Oui","Non"))</f>
        <v/>
      </c>
      <c r="L28" s="9">
        <f>IF(A28="","",B28&amp;" "&amp;C28)</f>
        <v/>
      </c>
      <c r="M28" s="9">
        <f>IF(A28="","",IF(COUNTIF($A$2:$A$51,A28)&gt;1,"DOUBLON ID",IF(OR(B28="",C28="",D28="",E28="",G28=""),"Adresse incomplète","OK")))</f>
        <v/>
      </c>
    </row>
    <row r="29" spans="1:13" ht="22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9">
        <f>IF(A29="","",IF(COUNTIFS(RendezVous!$C$2:$C$301,A29,RendezVous!$E$2:$E$301,"Sexologie",RendezVous!$I$2:$I$301,"Réalisé",RendezVous!$B$2:$B$301,"&gt;="&amp;Parametres!$B$4,RendezVous!$B$2:$B$301,"&lt;"&amp;Parametres!$B$2)&gt;0,"Oui","Non"))</f>
        <v/>
      </c>
      <c r="L29" s="9">
        <f>IF(A29="","",B29&amp;" "&amp;C29)</f>
        <v/>
      </c>
      <c r="M29" s="9">
        <f>IF(A29="","",IF(COUNTIF($A$2:$A$51,A29)&gt;1,"DOUBLON ID",IF(OR(B29="",C29="",D29="",E29="",G29=""),"Adresse incomplète","OK")))</f>
        <v/>
      </c>
    </row>
    <row r="30" spans="1:13" ht="22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9">
        <f>IF(A30="","",IF(COUNTIFS(RendezVous!$C$2:$C$301,A30,RendezVous!$E$2:$E$301,"Sexologie",RendezVous!$I$2:$I$301,"Réalisé",RendezVous!$B$2:$B$301,"&gt;="&amp;Parametres!$B$4,RendezVous!$B$2:$B$301,"&lt;"&amp;Parametres!$B$2)&gt;0,"Oui","Non"))</f>
        <v/>
      </c>
      <c r="L30" s="9">
        <f>IF(A30="","",B30&amp;" "&amp;C30)</f>
        <v/>
      </c>
      <c r="M30" s="9">
        <f>IF(A30="","",IF(COUNTIF($A$2:$A$51,A30)&gt;1,"DOUBLON ID",IF(OR(B30="",C30="",D30="",E30="",G30=""),"Adresse incomplète","OK")))</f>
        <v/>
      </c>
    </row>
    <row r="31" spans="1:13" ht="22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9">
        <f>IF(A31="","",IF(COUNTIFS(RendezVous!$C$2:$C$301,A31,RendezVous!$E$2:$E$301,"Sexologie",RendezVous!$I$2:$I$301,"Réalisé",RendezVous!$B$2:$B$301,"&gt;="&amp;Parametres!$B$4,RendezVous!$B$2:$B$301,"&lt;"&amp;Parametres!$B$2)&gt;0,"Oui","Non"))</f>
        <v/>
      </c>
      <c r="L31" s="9">
        <f>IF(A31="","",B31&amp;" "&amp;C31)</f>
        <v/>
      </c>
      <c r="M31" s="9">
        <f>IF(A31="","",IF(COUNTIF($A$2:$A$51,A31)&gt;1,"DOUBLON ID",IF(OR(B31="",C31="",D31="",E31="",G31=""),"Adresse incomplète","OK")))</f>
        <v/>
      </c>
    </row>
    <row r="32" spans="1:13" ht="22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9">
        <f>IF(A32="","",IF(COUNTIFS(RendezVous!$C$2:$C$301,A32,RendezVous!$E$2:$E$301,"Sexologie",RendezVous!$I$2:$I$301,"Réalisé",RendezVous!$B$2:$B$301,"&gt;="&amp;Parametres!$B$4,RendezVous!$B$2:$B$301,"&lt;"&amp;Parametres!$B$2)&gt;0,"Oui","Non"))</f>
        <v/>
      </c>
      <c r="L32" s="9">
        <f>IF(A32="","",B32&amp;" "&amp;C32)</f>
        <v/>
      </c>
      <c r="M32" s="9">
        <f>IF(A32="","",IF(COUNTIF($A$2:$A$51,A32)&gt;1,"DOUBLON ID",IF(OR(B32="",C32="",D32="",E32="",G32=""),"Adresse incomplète","OK")))</f>
        <v/>
      </c>
    </row>
    <row r="33" spans="1:13" ht="22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9">
        <f>IF(A33="","",IF(COUNTIFS(RendezVous!$C$2:$C$301,A33,RendezVous!$E$2:$E$301,"Sexologie",RendezVous!$I$2:$I$301,"Réalisé",RendezVous!$B$2:$B$301,"&gt;="&amp;Parametres!$B$4,RendezVous!$B$2:$B$301,"&lt;"&amp;Parametres!$B$2)&gt;0,"Oui","Non"))</f>
        <v/>
      </c>
      <c r="L33" s="9">
        <f>IF(A33="","",B33&amp;" "&amp;C33)</f>
        <v/>
      </c>
      <c r="M33" s="9">
        <f>IF(A33="","",IF(COUNTIF($A$2:$A$51,A33)&gt;1,"DOUBLON ID",IF(OR(B33="",C33="",D33="",E33="",G33=""),"Adresse incomplète","OK")))</f>
        <v/>
      </c>
    </row>
    <row r="34" spans="1:13" ht="22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9">
        <f>IF(A34="","",IF(COUNTIFS(RendezVous!$C$2:$C$301,A34,RendezVous!$E$2:$E$301,"Sexologie",RendezVous!$I$2:$I$301,"Réalisé",RendezVous!$B$2:$B$301,"&gt;="&amp;Parametres!$B$4,RendezVous!$B$2:$B$301,"&lt;"&amp;Parametres!$B$2)&gt;0,"Oui","Non"))</f>
        <v/>
      </c>
      <c r="L34" s="9">
        <f>IF(A34="","",B34&amp;" "&amp;C34)</f>
        <v/>
      </c>
      <c r="M34" s="9">
        <f>IF(A34="","",IF(COUNTIF($A$2:$A$51,A34)&gt;1,"DOUBLON ID",IF(OR(B34="",C34="",D34="",E34="",G34=""),"Adresse incomplète","OK")))</f>
        <v/>
      </c>
    </row>
    <row r="35" spans="1:13" ht="22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9">
        <f>IF(A35="","",IF(COUNTIFS(RendezVous!$C$2:$C$301,A35,RendezVous!$E$2:$E$301,"Sexologie",RendezVous!$I$2:$I$301,"Réalisé",RendezVous!$B$2:$B$301,"&gt;="&amp;Parametres!$B$4,RendezVous!$B$2:$B$301,"&lt;"&amp;Parametres!$B$2)&gt;0,"Oui","Non"))</f>
        <v/>
      </c>
      <c r="L35" s="9">
        <f>IF(A35="","",B35&amp;" "&amp;C35)</f>
        <v/>
      </c>
      <c r="M35" s="9">
        <f>IF(A35="","",IF(COUNTIF($A$2:$A$51,A35)&gt;1,"DOUBLON ID",IF(OR(B35="",C35="",D35="",E35="",G35=""),"Adresse incomplète","OK")))</f>
        <v/>
      </c>
    </row>
    <row r="36" spans="1:13" ht="22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9">
        <f>IF(A36="","",IF(COUNTIFS(RendezVous!$C$2:$C$301,A36,RendezVous!$E$2:$E$301,"Sexologie",RendezVous!$I$2:$I$301,"Réalisé",RendezVous!$B$2:$B$301,"&gt;="&amp;Parametres!$B$4,RendezVous!$B$2:$B$301,"&lt;"&amp;Parametres!$B$2)&gt;0,"Oui","Non"))</f>
        <v/>
      </c>
      <c r="L36" s="9">
        <f>IF(A36="","",B36&amp;" "&amp;C36)</f>
        <v/>
      </c>
      <c r="M36" s="9">
        <f>IF(A36="","",IF(COUNTIF($A$2:$A$51,A36)&gt;1,"DOUBLON ID",IF(OR(B36="",C36="",D36="",E36="",G36=""),"Adresse incomplète","OK")))</f>
        <v/>
      </c>
    </row>
    <row r="37" spans="1:13" ht="22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9">
        <f>IF(A37="","",IF(COUNTIFS(RendezVous!$C$2:$C$301,A37,RendezVous!$E$2:$E$301,"Sexologie",RendezVous!$I$2:$I$301,"Réalisé",RendezVous!$B$2:$B$301,"&gt;="&amp;Parametres!$B$4,RendezVous!$B$2:$B$301,"&lt;"&amp;Parametres!$B$2)&gt;0,"Oui","Non"))</f>
        <v/>
      </c>
      <c r="L37" s="9">
        <f>IF(A37="","",B37&amp;" "&amp;C37)</f>
        <v/>
      </c>
      <c r="M37" s="9">
        <f>IF(A37="","",IF(COUNTIF($A$2:$A$51,A37)&gt;1,"DOUBLON ID",IF(OR(B37="",C37="",D37="",E37="",G37=""),"Adresse incomplète","OK")))</f>
        <v/>
      </c>
    </row>
    <row r="38" spans="1:13" ht="22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9">
        <f>IF(A38="","",IF(COUNTIFS(RendezVous!$C$2:$C$301,A38,RendezVous!$E$2:$E$301,"Sexologie",RendezVous!$I$2:$I$301,"Réalisé",RendezVous!$B$2:$B$301,"&gt;="&amp;Parametres!$B$4,RendezVous!$B$2:$B$301,"&lt;"&amp;Parametres!$B$2)&gt;0,"Oui","Non"))</f>
        <v/>
      </c>
      <c r="L38" s="9">
        <f>IF(A38="","",B38&amp;" "&amp;C38)</f>
        <v/>
      </c>
      <c r="M38" s="9">
        <f>IF(A38="","",IF(COUNTIF($A$2:$A$51,A38)&gt;1,"DOUBLON ID",IF(OR(B38="",C38="",D38="",E38="",G38=""),"Adresse incomplète","OK")))</f>
        <v/>
      </c>
    </row>
    <row r="39" spans="1:13" ht="22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9">
        <f>IF(A39="","",IF(COUNTIFS(RendezVous!$C$2:$C$301,A39,RendezVous!$E$2:$E$301,"Sexologie",RendezVous!$I$2:$I$301,"Réalisé",RendezVous!$B$2:$B$301,"&gt;="&amp;Parametres!$B$4,RendezVous!$B$2:$B$301,"&lt;"&amp;Parametres!$B$2)&gt;0,"Oui","Non"))</f>
        <v/>
      </c>
      <c r="L39" s="9">
        <f>IF(A39="","",B39&amp;" "&amp;C39)</f>
        <v/>
      </c>
      <c r="M39" s="9">
        <f>IF(A39="","",IF(COUNTIF($A$2:$A$51,A39)&gt;1,"DOUBLON ID",IF(OR(B39="",C39="",D39="",E39="",G39=""),"Adresse incomplète","OK")))</f>
        <v/>
      </c>
    </row>
    <row r="40" spans="1:13" ht="22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9">
        <f>IF(A40="","",IF(COUNTIFS(RendezVous!$C$2:$C$301,A40,RendezVous!$E$2:$E$301,"Sexologie",RendezVous!$I$2:$I$301,"Réalisé",RendezVous!$B$2:$B$301,"&gt;="&amp;Parametres!$B$4,RendezVous!$B$2:$B$301,"&lt;"&amp;Parametres!$B$2)&gt;0,"Oui","Non"))</f>
        <v/>
      </c>
      <c r="L40" s="9">
        <f>IF(A40="","",B40&amp;" "&amp;C40)</f>
        <v/>
      </c>
      <c r="M40" s="9">
        <f>IF(A40="","",IF(COUNTIF($A$2:$A$51,A40)&gt;1,"DOUBLON ID",IF(OR(B40="",C40="",D40="",E40="",G40=""),"Adresse incomplète","OK")))</f>
        <v/>
      </c>
    </row>
    <row r="41" spans="1:13" ht="22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9">
        <f>IF(A41="","",IF(COUNTIFS(RendezVous!$C$2:$C$301,A41,RendezVous!$E$2:$E$301,"Sexologie",RendezVous!$I$2:$I$301,"Réalisé",RendezVous!$B$2:$B$301,"&gt;="&amp;Parametres!$B$4,RendezVous!$B$2:$B$301,"&lt;"&amp;Parametres!$B$2)&gt;0,"Oui","Non"))</f>
        <v/>
      </c>
      <c r="L41" s="9">
        <f>IF(A41="","",B41&amp;" "&amp;C41)</f>
        <v/>
      </c>
      <c r="M41" s="9">
        <f>IF(A41="","",IF(COUNTIF($A$2:$A$51,A41)&gt;1,"DOUBLON ID",IF(OR(B41="",C41="",D41="",E41="",G41=""),"Adresse incomplète","OK")))</f>
        <v/>
      </c>
    </row>
    <row r="42" spans="1:13" ht="22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9">
        <f>IF(A42="","",IF(COUNTIFS(RendezVous!$C$2:$C$301,A42,RendezVous!$E$2:$E$301,"Sexologie",RendezVous!$I$2:$I$301,"Réalisé",RendezVous!$B$2:$B$301,"&gt;="&amp;Parametres!$B$4,RendezVous!$B$2:$B$301,"&lt;"&amp;Parametres!$B$2)&gt;0,"Oui","Non"))</f>
        <v/>
      </c>
      <c r="L42" s="9">
        <f>IF(A42="","",B42&amp;" "&amp;C42)</f>
        <v/>
      </c>
      <c r="M42" s="9">
        <f>IF(A42="","",IF(COUNTIF($A$2:$A$51,A42)&gt;1,"DOUBLON ID",IF(OR(B42="",C42="",D42="",E42="",G42=""),"Adresse incomplète","OK")))</f>
        <v/>
      </c>
    </row>
    <row r="43" spans="1:13" ht="22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9">
        <f>IF(A43="","",IF(COUNTIFS(RendezVous!$C$2:$C$301,A43,RendezVous!$E$2:$E$301,"Sexologie",RendezVous!$I$2:$I$301,"Réalisé",RendezVous!$B$2:$B$301,"&gt;="&amp;Parametres!$B$4,RendezVous!$B$2:$B$301,"&lt;"&amp;Parametres!$B$2)&gt;0,"Oui","Non"))</f>
        <v/>
      </c>
      <c r="L43" s="9">
        <f>IF(A43="","",B43&amp;" "&amp;C43)</f>
        <v/>
      </c>
      <c r="M43" s="9">
        <f>IF(A43="","",IF(COUNTIF($A$2:$A$51,A43)&gt;1,"DOUBLON ID",IF(OR(B43="",C43="",D43="",E43="",G43=""),"Adresse incomplète","OK")))</f>
        <v/>
      </c>
    </row>
    <row r="44" spans="1:13" ht="22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9">
        <f>IF(A44="","",IF(COUNTIFS(RendezVous!$C$2:$C$301,A44,RendezVous!$E$2:$E$301,"Sexologie",RendezVous!$I$2:$I$301,"Réalisé",RendezVous!$B$2:$B$301,"&gt;="&amp;Parametres!$B$4,RendezVous!$B$2:$B$301,"&lt;"&amp;Parametres!$B$2)&gt;0,"Oui","Non"))</f>
        <v/>
      </c>
      <c r="L44" s="9">
        <f>IF(A44="","",B44&amp;" "&amp;C44)</f>
        <v/>
      </c>
      <c r="M44" s="9">
        <f>IF(A44="","",IF(COUNTIF($A$2:$A$51,A44)&gt;1,"DOUBLON ID",IF(OR(B44="",C44="",D44="",E44="",G44=""),"Adresse incomplète","OK")))</f>
        <v/>
      </c>
    </row>
    <row r="45" spans="1:13" ht="22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9">
        <f>IF(A45="","",IF(COUNTIFS(RendezVous!$C$2:$C$301,A45,RendezVous!$E$2:$E$301,"Sexologie",RendezVous!$I$2:$I$301,"Réalisé",RendezVous!$B$2:$B$301,"&gt;="&amp;Parametres!$B$4,RendezVous!$B$2:$B$301,"&lt;"&amp;Parametres!$B$2)&gt;0,"Oui","Non"))</f>
        <v/>
      </c>
      <c r="L45" s="9">
        <f>IF(A45="","",B45&amp;" "&amp;C45)</f>
        <v/>
      </c>
      <c r="M45" s="9">
        <f>IF(A45="","",IF(COUNTIF($A$2:$A$51,A45)&gt;1,"DOUBLON ID",IF(OR(B45="",C45="",D45="",E45="",G45=""),"Adresse incomplète","OK")))</f>
        <v/>
      </c>
    </row>
    <row r="46" spans="1:13" ht="22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9">
        <f>IF(A46="","",IF(COUNTIFS(RendezVous!$C$2:$C$301,A46,RendezVous!$E$2:$E$301,"Sexologie",RendezVous!$I$2:$I$301,"Réalisé",RendezVous!$B$2:$B$301,"&gt;="&amp;Parametres!$B$4,RendezVous!$B$2:$B$301,"&lt;"&amp;Parametres!$B$2)&gt;0,"Oui","Non"))</f>
        <v/>
      </c>
      <c r="L46" s="9">
        <f>IF(A46="","",B46&amp;" "&amp;C46)</f>
        <v/>
      </c>
      <c r="M46" s="9">
        <f>IF(A46="","",IF(COUNTIF($A$2:$A$51,A46)&gt;1,"DOUBLON ID",IF(OR(B46="",C46="",D46="",E46="",G46=""),"Adresse incomplète","OK")))</f>
        <v/>
      </c>
    </row>
    <row r="47" spans="1:13" ht="22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9">
        <f>IF(A47="","",IF(COUNTIFS(RendezVous!$C$2:$C$301,A47,RendezVous!$E$2:$E$301,"Sexologie",RendezVous!$I$2:$I$301,"Réalisé",RendezVous!$B$2:$B$301,"&gt;="&amp;Parametres!$B$4,RendezVous!$B$2:$B$301,"&lt;"&amp;Parametres!$B$2)&gt;0,"Oui","Non"))</f>
        <v/>
      </c>
      <c r="L47" s="9">
        <f>IF(A47="","",B47&amp;" "&amp;C47)</f>
        <v/>
      </c>
      <c r="M47" s="9">
        <f>IF(A47="","",IF(COUNTIF($A$2:$A$51,A47)&gt;1,"DOUBLON ID",IF(OR(B47="",C47="",D47="",E47="",G47=""),"Adresse incomplète","OK")))</f>
        <v/>
      </c>
    </row>
    <row r="48" spans="1:13" ht="22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9">
        <f>IF(A48="","",IF(COUNTIFS(RendezVous!$C$2:$C$301,A48,RendezVous!$E$2:$E$301,"Sexologie",RendezVous!$I$2:$I$301,"Réalisé",RendezVous!$B$2:$B$301,"&gt;="&amp;Parametres!$B$4,RendezVous!$B$2:$B$301,"&lt;"&amp;Parametres!$B$2)&gt;0,"Oui","Non"))</f>
        <v/>
      </c>
      <c r="L48" s="9">
        <f>IF(A48="","",B48&amp;" "&amp;C48)</f>
        <v/>
      </c>
      <c r="M48" s="9">
        <f>IF(A48="","",IF(COUNTIF($A$2:$A$51,A48)&gt;1,"DOUBLON ID",IF(OR(B48="",C48="",D48="",E48="",G48=""),"Adresse incomplète","OK")))</f>
        <v/>
      </c>
    </row>
    <row r="49" spans="1:13" ht="22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9">
        <f>IF(A49="","",IF(COUNTIFS(RendezVous!$C$2:$C$301,A49,RendezVous!$E$2:$E$301,"Sexologie",RendezVous!$I$2:$I$301,"Réalisé",RendezVous!$B$2:$B$301,"&gt;="&amp;Parametres!$B$4,RendezVous!$B$2:$B$301,"&lt;"&amp;Parametres!$B$2)&gt;0,"Oui","Non"))</f>
        <v/>
      </c>
      <c r="L49" s="9">
        <f>IF(A49="","",B49&amp;" "&amp;C49)</f>
        <v/>
      </c>
      <c r="M49" s="9">
        <f>IF(A49="","",IF(COUNTIF($A$2:$A$51,A49)&gt;1,"DOUBLON ID",IF(OR(B49="",C49="",D49="",E49="",G49=""),"Adresse incomplète","OK")))</f>
        <v/>
      </c>
    </row>
    <row r="50" spans="1:13" ht="22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9">
        <f>IF(A50="","",IF(COUNTIFS(RendezVous!$C$2:$C$301,A50,RendezVous!$E$2:$E$301,"Sexologie",RendezVous!$I$2:$I$301,"Réalisé",RendezVous!$B$2:$B$301,"&gt;="&amp;Parametres!$B$4,RendezVous!$B$2:$B$301,"&lt;"&amp;Parametres!$B$2)&gt;0,"Oui","Non"))</f>
        <v/>
      </c>
      <c r="L50" s="9">
        <f>IF(A50="","",B50&amp;" "&amp;C50)</f>
        <v/>
      </c>
      <c r="M50" s="9">
        <f>IF(A50="","",IF(COUNTIF($A$2:$A$51,A50)&gt;1,"DOUBLON ID",IF(OR(B50="",C50="",D50="",E50="",G50=""),"Adresse incomplète","OK")))</f>
        <v/>
      </c>
    </row>
    <row r="51" spans="1:13" ht="22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9">
        <f>IF(A51="","",IF(COUNTIFS(RendezVous!$C$2:$C$301,A51,RendezVous!$E$2:$E$301,"Sexologie",RendezVous!$I$2:$I$301,"Réalisé",RendezVous!$B$2:$B$301,"&gt;="&amp;Parametres!$B$4,RendezVous!$B$2:$B$301,"&lt;"&amp;Parametres!$B$2)&gt;0,"Oui","Non"))</f>
        <v/>
      </c>
      <c r="L51" s="9">
        <f>IF(A51="","",B51&amp;" "&amp;C51)</f>
        <v/>
      </c>
      <c r="M51" s="9">
        <f>IF(A51="","",IF(COUNTIF($A$2:$A$51,A51)&gt;1,"DOUBLON ID",IF(OR(B51="",C51="",D51="",E51="",G51=""),"Adresse incomplète","OK")))</f>
        <v/>
      </c>
    </row>
  </sheetData>
  <sheetProtection sheet="1" objects="1" scenarios="1" sort="0" autoFilter="0"/>
  <autoFilter ref="A1:M51"/>
  <conditionalFormatting sqref="A2:M51">
    <cfRule type="expression" dxfId="0" priority="1">
      <formula>AND($A2&lt;&gt;"",$M2&lt;&gt;"OK")</formula>
    </cfRule>
  </conditionalFormatting>
  <dataValidations count="2">
    <dataValidation type="custom" allowBlank="1" showInputMessage="1" showErrorMessage="1" errorTitle="Valeur à corriger" error="Utilisez une valeur autorisée; consultez le guide." sqref="A2:A51">
      <formula1>OR(A2="",COUNTIF($A$2:$A$51,A2)=1)</formula1>
    </dataValidation>
    <dataValidation type="list" allowBlank="1" showInputMessage="1" showErrorMessage="1" errorTitle="Valeur à corriger" error="Utilisez une valeur autorisée; consultez le guide." sqref="J2:J51">
      <formula1>OuiNon</formula1>
    </dataValidation>
  </dataValidations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1"/>
  <sheetViews>
    <sheetView showGridLines="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22" customHeight="1"/>
  <cols>
    <col min="1" max="3" width="14.7109375" customWidth="1"/>
    <col min="4" max="6" width="26.7109375" customWidth="1"/>
    <col min="7" max="18" width="17.7109375" customWidth="1"/>
    <col min="19" max="19" width="28.7109375" customWidth="1"/>
    <col min="20" max="20" width="48.7109375" customWidth="1"/>
  </cols>
  <sheetData>
    <row r="1" spans="1:22" ht="36" customHeight="1">
      <c r="A1" s="5" t="s">
        <v>124</v>
      </c>
      <c r="B1" s="5" t="s">
        <v>125</v>
      </c>
      <c r="C1" s="5" t="s">
        <v>47</v>
      </c>
      <c r="D1" s="5" t="s">
        <v>126</v>
      </c>
      <c r="E1" s="5" t="s">
        <v>22</v>
      </c>
      <c r="F1" s="5" t="s">
        <v>23</v>
      </c>
      <c r="G1" s="5" t="s">
        <v>127</v>
      </c>
      <c r="H1" s="5" t="s">
        <v>128</v>
      </c>
      <c r="I1" s="5" t="s">
        <v>129</v>
      </c>
      <c r="J1" s="5" t="s">
        <v>130</v>
      </c>
      <c r="K1" s="5" t="s">
        <v>57</v>
      </c>
      <c r="L1" s="5" t="s">
        <v>131</v>
      </c>
      <c r="M1" s="5" t="s">
        <v>132</v>
      </c>
      <c r="N1" s="5" t="s">
        <v>133</v>
      </c>
      <c r="O1" s="5" t="s">
        <v>134</v>
      </c>
      <c r="P1" s="5" t="s">
        <v>135</v>
      </c>
      <c r="Q1" s="5" t="s">
        <v>136</v>
      </c>
      <c r="R1" s="5" t="s">
        <v>137</v>
      </c>
      <c r="S1" s="5" t="s">
        <v>138</v>
      </c>
      <c r="T1" s="5" t="s">
        <v>139</v>
      </c>
      <c r="V1" s="3" t="s">
        <v>281</v>
      </c>
    </row>
    <row r="2" spans="1:22" ht="22" customHeight="1">
      <c r="A2" s="8" t="s">
        <v>140</v>
      </c>
      <c r="B2" s="6">
        <v>45900</v>
      </c>
      <c r="C2" s="8" t="s">
        <v>84</v>
      </c>
      <c r="D2" s="9" t="str">
        <f>IF(C2="","",IFERROR(VLOOKUP(C2,Clients!$A$2:$M$51,12,FALSE),"CLIENT INCONNU"))</f>
        <v>Dominique Fictif</v>
      </c>
      <c r="E2" s="8" t="s">
        <v>34</v>
      </c>
      <c r="F2" s="9" t="str">
        <f>IF(E2="","",IFERROR(VLOOKUP(E2,Services!$A$2:$D$4,2,FALSE),"SERVICE INCONNU"))</f>
        <v>Julie Grandmaison</v>
      </c>
      <c r="G2" s="10">
        <v>1</v>
      </c>
      <c r="H2" s="10">
        <v>1</v>
      </c>
      <c r="I2" s="8" t="s">
        <v>37</v>
      </c>
      <c r="J2" s="11">
        <f>IF(E2="","",IFERROR(VLOOKUP(E2,Services!$A$2:$D$4,3,FALSE),0))</f>
        <v>100</v>
      </c>
      <c r="K2" s="9" t="str">
        <f>IF(C2="","",IFERROR(VLOOKUP(C2,Clients!$A$2:$M$51,11,FALSE),"Non"))</f>
        <v>Non</v>
      </c>
      <c r="L2" s="12">
        <f>IF(A2="","",IF(I2&lt;&gt;"Réalisé",0,IF(E2&lt;&gt;"Sexologie",0,IF(K2&lt;&gt;"Oui",0,IF(AND(B2&gt;=Parametres!$B$2,B2&lt;=Parametres!$B$3),Parametres!$B$5,0)))))</f>
        <v>0</v>
      </c>
      <c r="M2" s="11">
        <f>IF(A2="","",IF(I2="Réalisé",ROUND(H2*J2,2),0))</f>
        <v>100.0</v>
      </c>
      <c r="N2" s="11">
        <f>IF(A2="","",ROUND(M2*L2,2))</f>
        <v>0.0</v>
      </c>
      <c r="O2" s="11">
        <f>IF(A2="","",ROUND(M2-N2,2))</f>
        <v>100.0</v>
      </c>
      <c r="P2" s="8" t="s">
        <v>41</v>
      </c>
      <c r="Q2" s="8" t="s">
        <v>141</v>
      </c>
      <c r="R2" s="13">
        <f>IF(A2="","",IF(I2="Réalisé",H2,0))</f>
        <v>1</v>
      </c>
      <c r="S2" s="9" t="str">
        <f>IF(A2="","",IF(COUNTIF($A$2:$A$301,A2)&gt;1,"DOUBLON RDV",IF(COUNTIF(Clients!$A$2:$A$51,C2)&lt;&gt;1,"Client à corriger",IF(COUNTIF(Services!$A$2:$A$4,E2)&lt;&gt;1,"Service à corriger",IF(OR(NOT(ISNUMBER(B2)),G2&lt;=0,H2&lt;0,COUNTIF(ListeStatuts,I2)&lt;&gt;1,COUNTIF(ListeFactures,P2)&lt;&gt;1),"Saisie à corriger",IF(AND(I2="Réalisé",OR(H2&lt;=0,B2&gt;Parametres!$B$7)),"Réalisation à vérifier",IF(AND(P2="Émise",OR(Q2="",I2&lt;&gt;"Réalisé")),"Facture à corriger",IF(AND(Q2&lt;&gt;"",COUNTIF($Q$2:$Q$301,Q2)&gt;1),"DOUBLON FACTURE",IF(AND(I2="Réalisé",ABS(G2-H2)&gt;0.001,T2=""),"Écart heures","OK")))))))))</f>
        <v>OK</v>
      </c>
      <c r="T2" s="8"/>
    </row>
    <row r="3" spans="1:22" ht="22" customHeight="1">
      <c r="A3" s="8" t="s">
        <v>142</v>
      </c>
      <c r="B3" s="6">
        <v>45901</v>
      </c>
      <c r="C3" s="8" t="s">
        <v>60</v>
      </c>
      <c r="D3" s="9" t="str">
        <f>IF(C3="","",IFERROR(VLOOKUP(C3,Clients!$A$2:$M$51,12,FALSE),"CLIENT INCONNU"))</f>
        <v>Camille Exemple</v>
      </c>
      <c r="E3" s="8" t="s">
        <v>34</v>
      </c>
      <c r="F3" s="9" t="str">
        <f>IF(E3="","",IFERROR(VLOOKUP(E3,Services!$A$2:$D$4,2,FALSE),"SERVICE INCONNU"))</f>
        <v>Julie Grandmaison</v>
      </c>
      <c r="G3" s="10">
        <v>1</v>
      </c>
      <c r="H3" s="10">
        <v>1</v>
      </c>
      <c r="I3" s="8" t="s">
        <v>37</v>
      </c>
      <c r="J3" s="11">
        <f>IF(E3="","",IFERROR(VLOOKUP(E3,Services!$A$2:$D$4,3,FALSE),0))</f>
        <v>100</v>
      </c>
      <c r="K3" s="9" t="str">
        <f>IF(C3="","",IFERROR(VLOOKUP(C3,Clients!$A$2:$M$51,11,FALSE),"Non"))</f>
        <v>Oui</v>
      </c>
      <c r="L3" s="12">
        <f>IF(A3="","",IF(I3&lt;&gt;"Réalisé",0,IF(E3&lt;&gt;"Sexologie",0,IF(K3&lt;&gt;"Oui",0,IF(AND(B3&gt;=Parametres!$B$2,B3&lt;=Parametres!$B$3),Parametres!$B$5,0)))))</f>
        <v>0</v>
      </c>
      <c r="M3" s="11">
        <f>IF(A3="","",IF(I3="Réalisé",ROUND(H3*J3,2),0))</f>
        <v>100.0</v>
      </c>
      <c r="N3" s="11">
        <f>IF(A3="","",ROUND(M3*L3,2))</f>
        <v>0.0</v>
      </c>
      <c r="O3" s="11">
        <f>IF(A3="","",ROUND(M3-N3,2))</f>
        <v>100.0</v>
      </c>
      <c r="P3" s="8" t="s">
        <v>41</v>
      </c>
      <c r="Q3" s="8" t="s">
        <v>143</v>
      </c>
      <c r="R3" s="13">
        <f>IF(A3="","",IF(I3="Réalisé",H3,0))</f>
        <v>1</v>
      </c>
      <c r="S3" s="9" t="str">
        <f>IF(A3="","",IF(COUNTIF($A$2:$A$301,A3)&gt;1,"DOUBLON RDV",IF(COUNTIF(Clients!$A$2:$A$51,C3)&lt;&gt;1,"Client à corriger",IF(COUNTIF(Services!$A$2:$A$4,E3)&lt;&gt;1,"Service à corriger",IF(OR(NOT(ISNUMBER(B3)),G3&lt;=0,H3&lt;0,COUNTIF(ListeStatuts,I3)&lt;&gt;1,COUNTIF(ListeFactures,P3)&lt;&gt;1),"Saisie à corriger",IF(AND(I3="Réalisé",OR(H3&lt;=0,B3&gt;Parametres!$B$7)),"Réalisation à vérifier",IF(AND(P3="Émise",OR(Q3="",I3&lt;&gt;"Réalisé")),"Facture à corriger",IF(AND(Q3&lt;&gt;"",COUNTIF($Q$2:$Q$301,Q3)&gt;1),"DOUBLON FACTURE",IF(AND(I3="Réalisé",ABS(G3-H3)&gt;0.001,T3=""),"Écart heures","OK")))))))))</f>
        <v>OK</v>
      </c>
      <c r="T3" s="8"/>
    </row>
    <row r="4" spans="1:22" ht="22" customHeight="1">
      <c r="A4" s="8" t="s">
        <v>144</v>
      </c>
      <c r="B4" s="6">
        <v>46265</v>
      </c>
      <c r="C4" s="8" t="s">
        <v>69</v>
      </c>
      <c r="D4" s="9" t="str">
        <f>IF(C4="","",IFERROR(VLOOKUP(C4,Clients!$A$2:$M$51,12,FALSE),"CLIENT INCONNU"))</f>
        <v>Alex Démo</v>
      </c>
      <c r="E4" s="8" t="s">
        <v>34</v>
      </c>
      <c r="F4" s="9" t="str">
        <f>IF(E4="","",IFERROR(VLOOKUP(E4,Services!$A$2:$D$4,2,FALSE),"SERVICE INCONNU"))</f>
        <v>Julie Grandmaison</v>
      </c>
      <c r="G4" s="10">
        <v>1</v>
      </c>
      <c r="H4" s="10">
        <v>1</v>
      </c>
      <c r="I4" s="8" t="s">
        <v>37</v>
      </c>
      <c r="J4" s="11">
        <f>IF(E4="","",IFERROR(VLOOKUP(E4,Services!$A$2:$D$4,3,FALSE),0))</f>
        <v>100</v>
      </c>
      <c r="K4" s="9" t="str">
        <f>IF(C4="","",IFERROR(VLOOKUP(C4,Clients!$A$2:$M$51,11,FALSE),"Non"))</f>
        <v>Oui</v>
      </c>
      <c r="L4" s="12">
        <f>IF(A4="","",IF(I4&lt;&gt;"Réalisé",0,IF(E4&lt;&gt;"Sexologie",0,IF(K4&lt;&gt;"Oui",0,IF(AND(B4&gt;=Parametres!$B$2,B4&lt;=Parametres!$B$3),Parametres!$B$5,0)))))</f>
        <v>0</v>
      </c>
      <c r="M4" s="11">
        <f>IF(A4="","",IF(I4="Réalisé",ROUND(H4*J4,2),0))</f>
        <v>100.0</v>
      </c>
      <c r="N4" s="11">
        <f>IF(A4="","",ROUND(M4*L4,2))</f>
        <v>0.0</v>
      </c>
      <c r="O4" s="11">
        <f>IF(A4="","",ROUND(M4-N4,2))</f>
        <v>100.0</v>
      </c>
      <c r="P4" s="8" t="s">
        <v>41</v>
      </c>
      <c r="Q4" s="8" t="s">
        <v>145</v>
      </c>
      <c r="R4" s="13">
        <f>IF(A4="","",IF(I4="Réalisé",H4,0))</f>
        <v>1</v>
      </c>
      <c r="S4" s="9" t="str">
        <f>IF(A4="","",IF(COUNTIF($A$2:$A$301,A4)&gt;1,"DOUBLON RDV",IF(COUNTIF(Clients!$A$2:$A$51,C4)&lt;&gt;1,"Client à corriger",IF(COUNTIF(Services!$A$2:$A$4,E4)&lt;&gt;1,"Service à corriger",IF(OR(NOT(ISNUMBER(B4)),G4&lt;=0,H4&lt;0,COUNTIF(ListeStatuts,I4)&lt;&gt;1,COUNTIF(ListeFactures,P4)&lt;&gt;1),"Saisie à corriger",IF(AND(I4="Réalisé",OR(H4&lt;=0,B4&gt;Parametres!$B$7)),"Réalisation à vérifier",IF(AND(P4="Émise",OR(Q4="",I4&lt;&gt;"Réalisé")),"Facture à corriger",IF(AND(Q4&lt;&gt;"",COUNTIF($Q$2:$Q$301,Q4)&gt;1),"DOUBLON FACTURE",IF(AND(I4="Réalisé",ABS(G4-H4)&gt;0.001,T4=""),"Écart heures","OK")))))))))</f>
        <v>OK</v>
      </c>
      <c r="T4" s="8"/>
    </row>
    <row r="5" spans="1:22" ht="22" customHeight="1">
      <c r="A5" s="8" t="s">
        <v>146</v>
      </c>
      <c r="B5" s="6">
        <v>46177</v>
      </c>
      <c r="C5" s="8" t="s">
        <v>74</v>
      </c>
      <c r="D5" s="9" t="str">
        <f>IF(C5="","",IFERROR(VLOOKUP(C5,Clients!$A$2:$M$51,12,FALSE),"CLIENT INCONNU"))</f>
        <v>Claude Essai</v>
      </c>
      <c r="E5" s="8" t="s">
        <v>32</v>
      </c>
      <c r="F5" s="9" t="str">
        <f>IF(E5="","",IFERROR(VLOOKUP(E5,Services!$A$2:$D$4,2,FALSE),"SERVICE INCONNU"))</f>
        <v>Micheline Champagne</v>
      </c>
      <c r="G5" s="10">
        <v>1</v>
      </c>
      <c r="H5" s="10">
        <v>1</v>
      </c>
      <c r="I5" s="8" t="s">
        <v>37</v>
      </c>
      <c r="J5" s="11">
        <f>IF(E5="","",IFERROR(VLOOKUP(E5,Services!$A$2:$D$4,3,FALSE),0))</f>
        <v>120</v>
      </c>
      <c r="K5" s="9" t="str">
        <f>IF(C5="","",IFERROR(VLOOKUP(C5,Clients!$A$2:$M$51,11,FALSE),"Non"))</f>
        <v>Non</v>
      </c>
      <c r="L5" s="12">
        <f>IF(A5="","",IF(I5&lt;&gt;"Réalisé",0,IF(E5&lt;&gt;"Sexologie",0,IF(K5&lt;&gt;"Oui",0,IF(AND(B5&gt;=Parametres!$B$2,B5&lt;=Parametres!$B$3),Parametres!$B$5,0)))))</f>
        <v>0</v>
      </c>
      <c r="M5" s="11">
        <f>IF(A5="","",IF(I5="Réalisé",ROUND(H5*J5,2),0))</f>
        <v>120.0</v>
      </c>
      <c r="N5" s="11">
        <f>IF(A5="","",ROUND(M5*L5,2))</f>
        <v>0.0</v>
      </c>
      <c r="O5" s="11">
        <f>IF(A5="","",ROUND(M5-N5,2))</f>
        <v>120.0</v>
      </c>
      <c r="P5" s="8" t="s">
        <v>41</v>
      </c>
      <c r="Q5" s="8" t="s">
        <v>147</v>
      </c>
      <c r="R5" s="13">
        <f>IF(A5="","",IF(I5="Réalisé",H5,0))</f>
        <v>1</v>
      </c>
      <c r="S5" s="9" t="str">
        <f>IF(A5="","",IF(COUNTIF($A$2:$A$301,A5)&gt;1,"DOUBLON RDV",IF(COUNTIF(Clients!$A$2:$A$51,C5)&lt;&gt;1,"Client à corriger",IF(COUNTIF(Services!$A$2:$A$4,E5)&lt;&gt;1,"Service à corriger",IF(OR(NOT(ISNUMBER(B5)),G5&lt;=0,H5&lt;0,COUNTIF(ListeStatuts,I5)&lt;&gt;1,COUNTIF(ListeFactures,P5)&lt;&gt;1),"Saisie à corriger",IF(AND(I5="Réalisé",OR(H5&lt;=0,B5&gt;Parametres!$B$7)),"Réalisation à vérifier",IF(AND(P5="Émise",OR(Q5="",I5&lt;&gt;"Réalisé")),"Facture à corriger",IF(AND(Q5&lt;&gt;"",COUNTIF($Q$2:$Q$301,Q5)&gt;1),"DOUBLON FACTURE",IF(AND(I5="Réalisé",ABS(G5-H5)&gt;0.001,T5=""),"Écart heures","OK")))))))))</f>
        <v>OK</v>
      </c>
      <c r="T5" s="8"/>
    </row>
    <row r="6" spans="1:22" ht="22" customHeight="1">
      <c r="A6" s="8" t="s">
        <v>148</v>
      </c>
      <c r="B6" s="6">
        <v>46209</v>
      </c>
      <c r="C6" s="8" t="s">
        <v>79</v>
      </c>
      <c r="D6" s="9" t="str">
        <f>IF(C6="","",IFERROR(VLOOKUP(C6,Clients!$A$2:$M$51,12,FALSE),"CLIENT INCONNU"))</f>
        <v>Lou Modèle</v>
      </c>
      <c r="E6" s="8" t="s">
        <v>30</v>
      </c>
      <c r="F6" s="9" t="str">
        <f>IF(E6="","",IFERROR(VLOOKUP(E6,Services!$A$2:$D$4,2,FALSE),"SERVICE INCONNU"))</f>
        <v>Moumadou N’Tougu</v>
      </c>
      <c r="G6" s="10">
        <v>1</v>
      </c>
      <c r="H6" s="10">
        <v>1</v>
      </c>
      <c r="I6" s="8" t="s">
        <v>37</v>
      </c>
      <c r="J6" s="11">
        <f>IF(E6="","",IFERROR(VLOOKUP(E6,Services!$A$2:$D$4,3,FALSE),0))</f>
        <v>180</v>
      </c>
      <c r="K6" s="9" t="str">
        <f>IF(C6="","",IFERROR(VLOOKUP(C6,Clients!$A$2:$M$51,11,FALSE),"Non"))</f>
        <v>Non</v>
      </c>
      <c r="L6" s="12">
        <f>IF(A6="","",IF(I6&lt;&gt;"Réalisé",0,IF(E6&lt;&gt;"Sexologie",0,IF(K6&lt;&gt;"Oui",0,IF(AND(B6&gt;=Parametres!$B$2,B6&lt;=Parametres!$B$3),Parametres!$B$5,0)))))</f>
        <v>0</v>
      </c>
      <c r="M6" s="11">
        <f>IF(A6="","",IF(I6="Réalisé",ROUND(H6*J6,2),0))</f>
        <v>180.0</v>
      </c>
      <c r="N6" s="11">
        <f>IF(A6="","",ROUND(M6*L6,2))</f>
        <v>0.0</v>
      </c>
      <c r="O6" s="11">
        <f>IF(A6="","",ROUND(M6-N6,2))</f>
        <v>180.0</v>
      </c>
      <c r="P6" s="8" t="s">
        <v>41</v>
      </c>
      <c r="Q6" s="8" t="s">
        <v>149</v>
      </c>
      <c r="R6" s="13">
        <f>IF(A6="","",IF(I6="Réalisé",H6,0))</f>
        <v>1</v>
      </c>
      <c r="S6" s="9" t="str">
        <f>IF(A6="","",IF(COUNTIF($A$2:$A$301,A6)&gt;1,"DOUBLON RDV",IF(COUNTIF(Clients!$A$2:$A$51,C6)&lt;&gt;1,"Client à corriger",IF(COUNTIF(Services!$A$2:$A$4,E6)&lt;&gt;1,"Service à corriger",IF(OR(NOT(ISNUMBER(B6)),G6&lt;=0,H6&lt;0,COUNTIF(ListeStatuts,I6)&lt;&gt;1,COUNTIF(ListeFactures,P6)&lt;&gt;1),"Saisie à corriger",IF(AND(I6="Réalisé",OR(H6&lt;=0,B6&gt;Parametres!$B$7)),"Réalisation à vérifier",IF(AND(P6="Émise",OR(Q6="",I6&lt;&gt;"Réalisé")),"Facture à corriger",IF(AND(Q6&lt;&gt;"",COUNTIF($Q$2:$Q$301,Q6)&gt;1),"DOUBLON FACTURE",IF(AND(I6="Réalisé",ABS(G6-H6)&gt;0.001,T6=""),"Écart heures","OK")))))))))</f>
        <v>OK</v>
      </c>
      <c r="T6" s="8"/>
    </row>
    <row r="7" spans="1:22" ht="22" customHeight="1">
      <c r="A7" s="8" t="s">
        <v>150</v>
      </c>
      <c r="B7" s="6">
        <v>46238</v>
      </c>
      <c r="C7" s="8" t="s">
        <v>89</v>
      </c>
      <c r="D7" s="9" t="str">
        <f>IF(C7="","",IFERROR(VLOOKUP(C7,Clients!$A$2:$M$51,12,FALSE),"CLIENT INCONNU"))</f>
        <v>Sacha Témoin</v>
      </c>
      <c r="E7" s="8" t="s">
        <v>34</v>
      </c>
      <c r="F7" s="9" t="str">
        <f>IF(E7="","",IFERROR(VLOOKUP(E7,Services!$A$2:$D$4,2,FALSE),"SERVICE INCONNU"))</f>
        <v>Julie Grandmaison</v>
      </c>
      <c r="G7" s="10">
        <v>1</v>
      </c>
      <c r="H7" s="10">
        <v>0</v>
      </c>
      <c r="I7" s="8" t="s">
        <v>38</v>
      </c>
      <c r="J7" s="11">
        <f>IF(E7="","",IFERROR(VLOOKUP(E7,Services!$A$2:$D$4,3,FALSE),0))</f>
        <v>100</v>
      </c>
      <c r="K7" s="9" t="str">
        <f>IF(C7="","",IFERROR(VLOOKUP(C7,Clients!$A$2:$M$51,11,FALSE),"Non"))</f>
        <v>Non</v>
      </c>
      <c r="L7" s="12">
        <f>IF(A7="","",IF(I7&lt;&gt;"Réalisé",0,IF(E7&lt;&gt;"Sexologie",0,IF(K7&lt;&gt;"Oui",0,IF(AND(B7&gt;=Parametres!$B$2,B7&lt;=Parametres!$B$3),Parametres!$B$5,0)))))</f>
        <v>0</v>
      </c>
      <c r="M7" s="11">
        <f>IF(A7="","",IF(I7="Réalisé",ROUND(H7*J7,2),0))</f>
        <v>0</v>
      </c>
      <c r="N7" s="11">
        <f>IF(A7="","",ROUND(M7*L7,2))</f>
        <v>0.0</v>
      </c>
      <c r="O7" s="11">
        <f>IF(A7="","",ROUND(M7-N7,2))</f>
        <v>0.0</v>
      </c>
      <c r="P7" s="8" t="s">
        <v>40</v>
      </c>
      <c r="Q7" s="8"/>
      <c r="R7" s="13">
        <f>IF(A7="","",IF(I7="Réalisé",H7,0))</f>
        <v>0</v>
      </c>
      <c r="S7" s="9" t="str">
        <f>IF(A7="","",IF(COUNTIF($A$2:$A$301,A7)&gt;1,"DOUBLON RDV",IF(COUNTIF(Clients!$A$2:$A$51,C7)&lt;&gt;1,"Client à corriger",IF(COUNTIF(Services!$A$2:$A$4,E7)&lt;&gt;1,"Service à corriger",IF(OR(NOT(ISNUMBER(B7)),G7&lt;=0,H7&lt;0,COUNTIF(ListeStatuts,I7)&lt;&gt;1,COUNTIF(ListeFactures,P7)&lt;&gt;1),"Saisie à corriger",IF(AND(I7="Réalisé",OR(H7&lt;=0,B7&gt;Parametres!$B$7)),"Réalisation à vérifier",IF(AND(P7="Émise",OR(Q7="",I7&lt;&gt;"Réalisé")),"Facture à corriger",IF(AND(Q7&lt;&gt;"",COUNTIF($Q$2:$Q$301,Q7)&gt;1),"DOUBLON FACTURE",IF(AND(I7="Réalisé",ABS(G7-H7)&gt;0.001,T7=""),"Écart heures","OK")))))))))</f>
        <v>OK</v>
      </c>
      <c r="T7" s="8"/>
    </row>
    <row r="8" spans="1:22" ht="22" customHeight="1">
      <c r="A8" s="8" t="s">
        <v>151</v>
      </c>
      <c r="B8" s="6">
        <v>46119</v>
      </c>
      <c r="C8" s="8" t="s">
        <v>94</v>
      </c>
      <c r="D8" s="9" t="str">
        <f>IF(C8="","",IFERROR(VLOOKUP(C8,Clients!$A$2:$M$51,12,FALSE),"CLIENT INCONNU"))</f>
        <v>Charlie Test</v>
      </c>
      <c r="E8" s="8" t="s">
        <v>34</v>
      </c>
      <c r="F8" s="9" t="str">
        <f>IF(E8="","",IFERROR(VLOOKUP(E8,Services!$A$2:$D$4,2,FALSE),"SERVICE INCONNU"))</f>
        <v>Julie Grandmaison</v>
      </c>
      <c r="G8" s="10">
        <v>1</v>
      </c>
      <c r="H8" s="10">
        <v>1</v>
      </c>
      <c r="I8" s="8" t="s">
        <v>37</v>
      </c>
      <c r="J8" s="11">
        <f>IF(E8="","",IFERROR(VLOOKUP(E8,Services!$A$2:$D$4,3,FALSE),0))</f>
        <v>100</v>
      </c>
      <c r="K8" s="9" t="str">
        <f>IF(C8="","",IFERROR(VLOOKUP(C8,Clients!$A$2:$M$51,11,FALSE),"Non"))</f>
        <v>Oui</v>
      </c>
      <c r="L8" s="12">
        <f>IF(A8="","",IF(I8&lt;&gt;"Réalisé",0,IF(E8&lt;&gt;"Sexologie",0,IF(K8&lt;&gt;"Oui",0,IF(AND(B8&gt;=Parametres!$B$2,B8&lt;=Parametres!$B$3),Parametres!$B$5,0)))))</f>
        <v>0</v>
      </c>
      <c r="M8" s="11">
        <f>IF(A8="","",IF(I8="Réalisé",ROUND(H8*J8,2),0))</f>
        <v>100.0</v>
      </c>
      <c r="N8" s="11">
        <f>IF(A8="","",ROUND(M8*L8,2))</f>
        <v>0.0</v>
      </c>
      <c r="O8" s="11">
        <f>IF(A8="","",ROUND(M8-N8,2))</f>
        <v>100.0</v>
      </c>
      <c r="P8" s="8" t="s">
        <v>41</v>
      </c>
      <c r="Q8" s="8" t="s">
        <v>152</v>
      </c>
      <c r="R8" s="13">
        <f>IF(A8="","",IF(I8="Réalisé",H8,0))</f>
        <v>1</v>
      </c>
      <c r="S8" s="9" t="str">
        <f>IF(A8="","",IF(COUNTIF($A$2:$A$301,A8)&gt;1,"DOUBLON RDV",IF(COUNTIF(Clients!$A$2:$A$51,C8)&lt;&gt;1,"Client à corriger",IF(COUNTIF(Services!$A$2:$A$4,E8)&lt;&gt;1,"Service à corriger",IF(OR(NOT(ISNUMBER(B8)),G8&lt;=0,H8&lt;0,COUNTIF(ListeStatuts,I8)&lt;&gt;1,COUNTIF(ListeFactures,P8)&lt;&gt;1),"Saisie à corriger",IF(AND(I8="Réalisé",OR(H8&lt;=0,B8&gt;Parametres!$B$7)),"Réalisation à vérifier",IF(AND(P8="Émise",OR(Q8="",I8&lt;&gt;"Réalisé")),"Facture à corriger",IF(AND(Q8&lt;&gt;"",COUNTIF($Q$2:$Q$301,Q8)&gt;1),"DOUBLON FACTURE",IF(AND(I8="Réalisé",ABS(G8-H8)&gt;0.001,T8=""),"Écart heures","OK")))))))))</f>
        <v>OK</v>
      </c>
      <c r="T8" s="8"/>
    </row>
    <row r="9" spans="1:22" ht="22" customHeight="1">
      <c r="A9" s="8" t="s">
        <v>153</v>
      </c>
      <c r="B9" s="6">
        <v>46121</v>
      </c>
      <c r="C9" s="8" t="s">
        <v>94</v>
      </c>
      <c r="D9" s="9" t="str">
        <f>IF(C9="","",IFERROR(VLOOKUP(C9,Clients!$A$2:$M$51,12,FALSE),"CLIENT INCONNU"))</f>
        <v>Charlie Test</v>
      </c>
      <c r="E9" s="8" t="s">
        <v>32</v>
      </c>
      <c r="F9" s="9" t="str">
        <f>IF(E9="","",IFERROR(VLOOKUP(E9,Services!$A$2:$D$4,2,FALSE),"SERVICE INCONNU"))</f>
        <v>Micheline Champagne</v>
      </c>
      <c r="G9" s="10">
        <v>1</v>
      </c>
      <c r="H9" s="10">
        <v>1</v>
      </c>
      <c r="I9" s="8" t="s">
        <v>37</v>
      </c>
      <c r="J9" s="11">
        <f>IF(E9="","",IFERROR(VLOOKUP(E9,Services!$A$2:$D$4,3,FALSE),0))</f>
        <v>120</v>
      </c>
      <c r="K9" s="9" t="str">
        <f>IF(C9="","",IFERROR(VLOOKUP(C9,Clients!$A$2:$M$51,11,FALSE),"Non"))</f>
        <v>Oui</v>
      </c>
      <c r="L9" s="12">
        <f>IF(A9="","",IF(I9&lt;&gt;"Réalisé",0,IF(E9&lt;&gt;"Sexologie",0,IF(K9&lt;&gt;"Oui",0,IF(AND(B9&gt;=Parametres!$B$2,B9&lt;=Parametres!$B$3),Parametres!$B$5,0)))))</f>
        <v>0</v>
      </c>
      <c r="M9" s="11">
        <f>IF(A9="","",IF(I9="Réalisé",ROUND(H9*J9,2),0))</f>
        <v>120.0</v>
      </c>
      <c r="N9" s="11">
        <f>IF(A9="","",ROUND(M9*L9,2))</f>
        <v>0.0</v>
      </c>
      <c r="O9" s="11">
        <f>IF(A9="","",ROUND(M9-N9,2))</f>
        <v>120.0</v>
      </c>
      <c r="P9" s="8" t="s">
        <v>41</v>
      </c>
      <c r="Q9" s="8" t="s">
        <v>154</v>
      </c>
      <c r="R9" s="13">
        <f>IF(A9="","",IF(I9="Réalisé",H9,0))</f>
        <v>1</v>
      </c>
      <c r="S9" s="9" t="str">
        <f>IF(A9="","",IF(COUNTIF($A$2:$A$301,A9)&gt;1,"DOUBLON RDV",IF(COUNTIF(Clients!$A$2:$A$51,C9)&lt;&gt;1,"Client à corriger",IF(COUNTIF(Services!$A$2:$A$4,E9)&lt;&gt;1,"Service à corriger",IF(OR(NOT(ISNUMBER(B9)),G9&lt;=0,H9&lt;0,COUNTIF(ListeStatuts,I9)&lt;&gt;1,COUNTIF(ListeFactures,P9)&lt;&gt;1),"Saisie à corriger",IF(AND(I9="Réalisé",OR(H9&lt;=0,B9&gt;Parametres!$B$7)),"Réalisation à vérifier",IF(AND(P9="Émise",OR(Q9="",I9&lt;&gt;"Réalisé")),"Facture à corriger",IF(AND(Q9&lt;&gt;"",COUNTIF($Q$2:$Q$301,Q9)&gt;1),"DOUBLON FACTURE",IF(AND(I9="Réalisé",ABS(G9-H9)&gt;0.001,T9=""),"Écart heures","OK")))))))))</f>
        <v>OK</v>
      </c>
      <c r="T9" s="8"/>
    </row>
    <row r="10" spans="1:22" ht="22" customHeight="1">
      <c r="A10" s="8" t="s">
        <v>155</v>
      </c>
      <c r="B10" s="6">
        <v>46154</v>
      </c>
      <c r="C10" s="8" t="s">
        <v>99</v>
      </c>
      <c r="D10" s="9" t="str">
        <f>IF(C10="","",IFERROR(VLOOKUP(C10,Clients!$A$2:$M$51,12,FALSE),"CLIENT INCONNU"))</f>
        <v>Maxime Simulation</v>
      </c>
      <c r="E10" s="8" t="s">
        <v>34</v>
      </c>
      <c r="F10" s="9" t="str">
        <f>IF(E10="","",IFERROR(VLOOKUP(E10,Services!$A$2:$D$4,2,FALSE),"SERVICE INCONNU"))</f>
        <v>Julie Grandmaison</v>
      </c>
      <c r="G10" s="10">
        <v>1</v>
      </c>
      <c r="H10" s="10">
        <v>1</v>
      </c>
      <c r="I10" s="8" t="s">
        <v>37</v>
      </c>
      <c r="J10" s="11">
        <f>IF(E10="","",IFERROR(VLOOKUP(E10,Services!$A$2:$D$4,3,FALSE),0))</f>
        <v>100</v>
      </c>
      <c r="K10" s="9" t="str">
        <f>IF(C10="","",IFERROR(VLOOKUP(C10,Clients!$A$2:$M$51,11,FALSE),"Non"))</f>
        <v>Oui</v>
      </c>
      <c r="L10" s="12">
        <f>IF(A10="","",IF(I10&lt;&gt;"Réalisé",0,IF(E10&lt;&gt;"Sexologie",0,IF(K10&lt;&gt;"Oui",0,IF(AND(B10&gt;=Parametres!$B$2,B10&lt;=Parametres!$B$3),Parametres!$B$5,0)))))</f>
        <v>0</v>
      </c>
      <c r="M10" s="11">
        <f>IF(A10="","",IF(I10="Réalisé",ROUND(H10*J10,2),0))</f>
        <v>100.0</v>
      </c>
      <c r="N10" s="11">
        <f>IF(A10="","",ROUND(M10*L10,2))</f>
        <v>0.0</v>
      </c>
      <c r="O10" s="11">
        <f>IF(A10="","",ROUND(M10-N10,2))</f>
        <v>100.0</v>
      </c>
      <c r="P10" s="8" t="s">
        <v>41</v>
      </c>
      <c r="Q10" s="8" t="s">
        <v>156</v>
      </c>
      <c r="R10" s="13">
        <f>IF(A10="","",IF(I10="Réalisé",H10,0))</f>
        <v>1</v>
      </c>
      <c r="S10" s="9" t="str">
        <f>IF(A10="","",IF(COUNTIF($A$2:$A$301,A10)&gt;1,"DOUBLON RDV",IF(COUNTIF(Clients!$A$2:$A$51,C10)&lt;&gt;1,"Client à corriger",IF(COUNTIF(Services!$A$2:$A$4,E10)&lt;&gt;1,"Service à corriger",IF(OR(NOT(ISNUMBER(B10)),G10&lt;=0,H10&lt;0,COUNTIF(ListeStatuts,I10)&lt;&gt;1,COUNTIF(ListeFactures,P10)&lt;&gt;1),"Saisie à corriger",IF(AND(I10="Réalisé",OR(H10&lt;=0,B10&gt;Parametres!$B$7)),"Réalisation à vérifier",IF(AND(P10="Émise",OR(Q10="",I10&lt;&gt;"Réalisé")),"Facture à corriger",IF(AND(Q10&lt;&gt;"",COUNTIF($Q$2:$Q$301,Q10)&gt;1),"DOUBLON FACTURE",IF(AND(I10="Réalisé",ABS(G10-H10)&gt;0.001,T10=""),"Écart heures","OK")))))))))</f>
        <v>OK</v>
      </c>
      <c r="T10" s="8"/>
    </row>
    <row r="11" spans="1:22" ht="22" customHeight="1">
      <c r="A11" s="8" t="s">
        <v>157</v>
      </c>
      <c r="B11" s="6">
        <v>46252</v>
      </c>
      <c r="C11" s="8" t="s">
        <v>104</v>
      </c>
      <c r="D11" s="9" t="str">
        <f>IF(C11="","",IFERROR(VLOOKUP(C11,Clients!$A$2:$M$51,12,FALSE),"CLIENT INCONNU"))</f>
        <v>Robin Échantillon</v>
      </c>
      <c r="E11" s="8" t="s">
        <v>34</v>
      </c>
      <c r="F11" s="9" t="str">
        <f>IF(E11="","",IFERROR(VLOOKUP(E11,Services!$A$2:$D$4,2,FALSE),"SERVICE INCONNU"))</f>
        <v>Julie Grandmaison</v>
      </c>
      <c r="G11" s="10">
        <v>1</v>
      </c>
      <c r="H11" s="10">
        <v>1</v>
      </c>
      <c r="I11" s="8" t="s">
        <v>37</v>
      </c>
      <c r="J11" s="11">
        <f>IF(E11="","",IFERROR(VLOOKUP(E11,Services!$A$2:$D$4,3,FALSE),0))</f>
        <v>100</v>
      </c>
      <c r="K11" s="9" t="str">
        <f>IF(C11="","",IFERROR(VLOOKUP(C11,Clients!$A$2:$M$51,11,FALSE),"Non"))</f>
        <v>Oui</v>
      </c>
      <c r="L11" s="12">
        <f>IF(A11="","",IF(I11&lt;&gt;"Réalisé",0,IF(E11&lt;&gt;"Sexologie",0,IF(K11&lt;&gt;"Oui",0,IF(AND(B11&gt;=Parametres!$B$2,B11&lt;=Parametres!$B$3),Parametres!$B$5,0)))))</f>
        <v>0</v>
      </c>
      <c r="M11" s="11">
        <f>IF(A11="","",IF(I11="Réalisé",ROUND(H11*J11,2),0))</f>
        <v>100.0</v>
      </c>
      <c r="N11" s="11">
        <f>IF(A11="","",ROUND(M11*L11,2))</f>
        <v>0.0</v>
      </c>
      <c r="O11" s="11">
        <f>IF(A11="","",ROUND(M11-N11,2))</f>
        <v>100.0</v>
      </c>
      <c r="P11" s="8" t="s">
        <v>41</v>
      </c>
      <c r="Q11" s="8" t="s">
        <v>158</v>
      </c>
      <c r="R11" s="13">
        <f>IF(A11="","",IF(I11="Réalisé",H11,0))</f>
        <v>1</v>
      </c>
      <c r="S11" s="9" t="str">
        <f>IF(A11="","",IF(COUNTIF($A$2:$A$301,A11)&gt;1,"DOUBLON RDV",IF(COUNTIF(Clients!$A$2:$A$51,C11)&lt;&gt;1,"Client à corriger",IF(COUNTIF(Services!$A$2:$A$4,E11)&lt;&gt;1,"Service à corriger",IF(OR(NOT(ISNUMBER(B11)),G11&lt;=0,H11&lt;0,COUNTIF(ListeStatuts,I11)&lt;&gt;1,COUNTIF(ListeFactures,P11)&lt;&gt;1),"Saisie à corriger",IF(AND(I11="Réalisé",OR(H11&lt;=0,B11&gt;Parametres!$B$7)),"Réalisation à vérifier",IF(AND(P11="Émise",OR(Q11="",I11&lt;&gt;"Réalisé")),"Facture à corriger",IF(AND(Q11&lt;&gt;"",COUNTIF($Q$2:$Q$301,Q11)&gt;1),"DOUBLON FACTURE",IF(AND(I11="Réalisé",ABS(G11-H11)&gt;0.001,T11=""),"Écart heures","OK")))))))))</f>
        <v>OK</v>
      </c>
      <c r="T11" s="8"/>
    </row>
    <row r="12" spans="1:22" ht="22" customHeight="1">
      <c r="A12" s="8" t="s">
        <v>159</v>
      </c>
      <c r="B12" s="6">
        <v>46225</v>
      </c>
      <c r="C12" s="8" t="s">
        <v>109</v>
      </c>
      <c r="D12" s="9" t="str">
        <f>IF(C12="","",IFERROR(VLOOKUP(C12,Clients!$A$2:$M$51,12,FALSE),"CLIENT INCONNU"))</f>
        <v>Noa Prototype</v>
      </c>
      <c r="E12" s="8" t="s">
        <v>30</v>
      </c>
      <c r="F12" s="9" t="str">
        <f>IF(E12="","",IFERROR(VLOOKUP(E12,Services!$A$2:$D$4,2,FALSE),"SERVICE INCONNU"))</f>
        <v>Moumadou N’Tougu</v>
      </c>
      <c r="G12" s="10">
        <v>1</v>
      </c>
      <c r="H12" s="10">
        <v>1</v>
      </c>
      <c r="I12" s="8" t="s">
        <v>37</v>
      </c>
      <c r="J12" s="11">
        <f>IF(E12="","",IFERROR(VLOOKUP(E12,Services!$A$2:$D$4,3,FALSE),0))</f>
        <v>180</v>
      </c>
      <c r="K12" s="9" t="str">
        <f>IF(C12="","",IFERROR(VLOOKUP(C12,Clients!$A$2:$M$51,11,FALSE),"Non"))</f>
        <v>Non</v>
      </c>
      <c r="L12" s="12">
        <f>IF(A12="","",IF(I12&lt;&gt;"Réalisé",0,IF(E12&lt;&gt;"Sexologie",0,IF(K12&lt;&gt;"Oui",0,IF(AND(B12&gt;=Parametres!$B$2,B12&lt;=Parametres!$B$3),Parametres!$B$5,0)))))</f>
        <v>0</v>
      </c>
      <c r="M12" s="11">
        <f>IF(A12="","",IF(I12="Réalisé",ROUND(H12*J12,2),0))</f>
        <v>180.0</v>
      </c>
      <c r="N12" s="11">
        <f>IF(A12="","",ROUND(M12*L12,2))</f>
        <v>0.0</v>
      </c>
      <c r="O12" s="11">
        <f>IF(A12="","",ROUND(M12-N12,2))</f>
        <v>180.0</v>
      </c>
      <c r="P12" s="8" t="s">
        <v>41</v>
      </c>
      <c r="Q12" s="8" t="s">
        <v>160</v>
      </c>
      <c r="R12" s="13">
        <f>IF(A12="","",IF(I12="Réalisé",H12,0))</f>
        <v>1</v>
      </c>
      <c r="S12" s="9" t="str">
        <f>IF(A12="","",IF(COUNTIF($A$2:$A$301,A12)&gt;1,"DOUBLON RDV",IF(COUNTIF(Clients!$A$2:$A$51,C12)&lt;&gt;1,"Client à corriger",IF(COUNTIF(Services!$A$2:$A$4,E12)&lt;&gt;1,"Service à corriger",IF(OR(NOT(ISNUMBER(B12)),G12&lt;=0,H12&lt;0,COUNTIF(ListeStatuts,I12)&lt;&gt;1,COUNTIF(ListeFactures,P12)&lt;&gt;1),"Saisie à corriger",IF(AND(I12="Réalisé",OR(H12&lt;=0,B12&gt;Parametres!$B$7)),"Réalisation à vérifier",IF(AND(P12="Émise",OR(Q12="",I12&lt;&gt;"Réalisé")),"Facture à corriger",IF(AND(Q12&lt;&gt;"",COUNTIF($Q$2:$Q$301,Q12)&gt;1),"DOUBLON FACTURE",IF(AND(I12="Réalisé",ABS(G12-H12)&gt;0.001,T12=""),"Écart heures","OK")))))))))</f>
        <v>OK</v>
      </c>
      <c r="T12" s="8"/>
    </row>
    <row r="13" spans="1:22" ht="22" customHeight="1">
      <c r="A13" s="8" t="s">
        <v>161</v>
      </c>
      <c r="B13" s="6">
        <v>46235</v>
      </c>
      <c r="C13" s="8" t="s">
        <v>114</v>
      </c>
      <c r="D13" s="9" t="str">
        <f>IF(C13="","",IFERROR(VLOOKUP(C13,Clients!$A$2:$M$51,12,FALSE),"CLIENT INCONNU"))</f>
        <v>Morgan Vérification</v>
      </c>
      <c r="E13" s="8" t="s">
        <v>32</v>
      </c>
      <c r="F13" s="9" t="str">
        <f>IF(E13="","",IFERROR(VLOOKUP(E13,Services!$A$2:$D$4,2,FALSE),"SERVICE INCONNU"))</f>
        <v>Micheline Champagne</v>
      </c>
      <c r="G13" s="10">
        <v>1</v>
      </c>
      <c r="H13" s="10">
        <v>1</v>
      </c>
      <c r="I13" s="8" t="s">
        <v>37</v>
      </c>
      <c r="J13" s="11">
        <f>IF(E13="","",IFERROR(VLOOKUP(E13,Services!$A$2:$D$4,3,FALSE),0))</f>
        <v>120</v>
      </c>
      <c r="K13" s="9" t="str">
        <f>IF(C13="","",IFERROR(VLOOKUP(C13,Clients!$A$2:$M$51,11,FALSE),"Non"))</f>
        <v>Non</v>
      </c>
      <c r="L13" s="12">
        <f>IF(A13="","",IF(I13&lt;&gt;"Réalisé",0,IF(E13&lt;&gt;"Sexologie",0,IF(K13&lt;&gt;"Oui",0,IF(AND(B13&gt;=Parametres!$B$2,B13&lt;=Parametres!$B$3),Parametres!$B$5,0)))))</f>
        <v>0</v>
      </c>
      <c r="M13" s="11">
        <f>IF(A13="","",IF(I13="Réalisé",ROUND(H13*J13,2),0))</f>
        <v>120.0</v>
      </c>
      <c r="N13" s="11">
        <f>IF(A13="","",ROUND(M13*L13,2))</f>
        <v>0.0</v>
      </c>
      <c r="O13" s="11">
        <f>IF(A13="","",ROUND(M13-N13,2))</f>
        <v>120.0</v>
      </c>
      <c r="P13" s="8" t="s">
        <v>41</v>
      </c>
      <c r="Q13" s="8" t="s">
        <v>162</v>
      </c>
      <c r="R13" s="13">
        <f>IF(A13="","",IF(I13="Réalisé",H13,0))</f>
        <v>1</v>
      </c>
      <c r="S13" s="9" t="str">
        <f>IF(A13="","",IF(COUNTIF($A$2:$A$301,A13)&gt;1,"DOUBLON RDV",IF(COUNTIF(Clients!$A$2:$A$51,C13)&lt;&gt;1,"Client à corriger",IF(COUNTIF(Services!$A$2:$A$4,E13)&lt;&gt;1,"Service à corriger",IF(OR(NOT(ISNUMBER(B13)),G13&lt;=0,H13&lt;0,COUNTIF(ListeStatuts,I13)&lt;&gt;1,COUNTIF(ListeFactures,P13)&lt;&gt;1),"Saisie à corriger",IF(AND(I13="Réalisé",OR(H13&lt;=0,B13&gt;Parametres!$B$7)),"Réalisation à vérifier",IF(AND(P13="Émise",OR(Q13="",I13&lt;&gt;"Réalisé")),"Facture à corriger",IF(AND(Q13&lt;&gt;"",COUNTIF($Q$2:$Q$301,Q13)&gt;1),"DOUBLON FACTURE",IF(AND(I13="Réalisé",ABS(G13-H13)&gt;0.001,T13=""),"Écart heures","OK")))))))))</f>
        <v>OK</v>
      </c>
      <c r="T13" s="8"/>
    </row>
    <row r="14" spans="1:22" ht="22" customHeight="1">
      <c r="A14" s="8" t="s">
        <v>163</v>
      </c>
      <c r="B14" s="6">
        <v>46254</v>
      </c>
      <c r="C14" s="8" t="s">
        <v>119</v>
      </c>
      <c r="D14" s="9" t="str">
        <f>IF(C14="","",IFERROR(VLOOKUP(C14,Clients!$A$2:$M$51,12,FALSE),"CLIENT INCONNU"))</f>
        <v>Alix Démonstration</v>
      </c>
      <c r="E14" s="8" t="s">
        <v>34</v>
      </c>
      <c r="F14" s="9" t="str">
        <f>IF(E14="","",IFERROR(VLOOKUP(E14,Services!$A$2:$D$4,2,FALSE),"SERVICE INCONNU"))</f>
        <v>Julie Grandmaison</v>
      </c>
      <c r="G14" s="10">
        <v>1.5</v>
      </c>
      <c r="H14" s="10">
        <v>1.5</v>
      </c>
      <c r="I14" s="8" t="s">
        <v>37</v>
      </c>
      <c r="J14" s="11">
        <f>IF(E14="","",IFERROR(VLOOKUP(E14,Services!$A$2:$D$4,3,FALSE),0))</f>
        <v>100</v>
      </c>
      <c r="K14" s="9" t="str">
        <f>IF(C14="","",IFERROR(VLOOKUP(C14,Clients!$A$2:$M$51,11,FALSE),"Non"))</f>
        <v>Oui</v>
      </c>
      <c r="L14" s="12">
        <f>IF(A14="","",IF(I14&lt;&gt;"Réalisé",0,IF(E14&lt;&gt;"Sexologie",0,IF(K14&lt;&gt;"Oui",0,IF(AND(B14&gt;=Parametres!$B$2,B14&lt;=Parametres!$B$3),Parametres!$B$5,0)))))</f>
        <v>0</v>
      </c>
      <c r="M14" s="11">
        <f>IF(A14="","",IF(I14="Réalisé",ROUND(H14*J14,2),0))</f>
        <v>150.0</v>
      </c>
      <c r="N14" s="11">
        <f>IF(A14="","",ROUND(M14*L14,2))</f>
        <v>0.0</v>
      </c>
      <c r="O14" s="11">
        <f>IF(A14="","",ROUND(M14-N14,2))</f>
        <v>150.0</v>
      </c>
      <c r="P14" s="8" t="s">
        <v>41</v>
      </c>
      <c r="Q14" s="8" t="s">
        <v>164</v>
      </c>
      <c r="R14" s="13">
        <f>IF(A14="","",IF(I14="Réalisé",H14,0))</f>
        <v>1.5</v>
      </c>
      <c r="S14" s="9" t="str">
        <f>IF(A14="","",IF(COUNTIF($A$2:$A$301,A14)&gt;1,"DOUBLON RDV",IF(COUNTIF(Clients!$A$2:$A$51,C14)&lt;&gt;1,"Client à corriger",IF(COUNTIF(Services!$A$2:$A$4,E14)&lt;&gt;1,"Service à corriger",IF(OR(NOT(ISNUMBER(B14)),G14&lt;=0,H14&lt;0,COUNTIF(ListeStatuts,I14)&lt;&gt;1,COUNTIF(ListeFactures,P14)&lt;&gt;1),"Saisie à corriger",IF(AND(I14="Réalisé",OR(H14&lt;=0,B14&gt;Parametres!$B$7)),"Réalisation à vérifier",IF(AND(P14="Émise",OR(Q14="",I14&lt;&gt;"Réalisé")),"Facture à corriger",IF(AND(Q14&lt;&gt;"",COUNTIF($Q$2:$Q$301,Q14)&gt;1),"DOUBLON FACTURE",IF(AND(I14="Réalisé",ABS(G14-H14)&gt;0.001,T14=""),"Écart heures","OK")))))))))</f>
        <v>OK</v>
      </c>
      <c r="T14" s="8"/>
    </row>
    <row r="15" spans="1:22" ht="22" customHeight="1">
      <c r="A15" s="8" t="s">
        <v>165</v>
      </c>
      <c r="B15" s="6">
        <v>46266</v>
      </c>
      <c r="C15" s="8" t="s">
        <v>60</v>
      </c>
      <c r="D15" s="9" t="str">
        <f>IF(C15="","",IFERROR(VLOOKUP(C15,Clients!$A$2:$M$51,12,FALSE),"CLIENT INCONNU"))</f>
        <v>Camille Exemple</v>
      </c>
      <c r="E15" s="8" t="s">
        <v>34</v>
      </c>
      <c r="F15" s="9" t="str">
        <f>IF(E15="","",IFERROR(VLOOKUP(E15,Services!$A$2:$D$4,2,FALSE),"SERVICE INCONNU"))</f>
        <v>Julie Grandmaison</v>
      </c>
      <c r="G15" s="10">
        <v>1</v>
      </c>
      <c r="H15" s="10">
        <v>1</v>
      </c>
      <c r="I15" s="8" t="s">
        <v>37</v>
      </c>
      <c r="J15" s="11">
        <f>IF(E15="","",IFERROR(VLOOKUP(E15,Services!$A$2:$D$4,3,FALSE),0))</f>
        <v>100</v>
      </c>
      <c r="K15" s="9" t="str">
        <f>IF(C15="","",IFERROR(VLOOKUP(C15,Clients!$A$2:$M$51,11,FALSE),"Non"))</f>
        <v>Oui</v>
      </c>
      <c r="L15" s="12">
        <f>IF(A15="","",IF(I15&lt;&gt;"Réalisé",0,IF(E15&lt;&gt;"Sexologie",0,IF(K15&lt;&gt;"Oui",0,IF(AND(B15&gt;=Parametres!$B$2,B15&lt;=Parametres!$B$3),Parametres!$B$5,0)))))</f>
        <v>0.05</v>
      </c>
      <c r="M15" s="11">
        <f>IF(A15="","",IF(I15="Réalisé",ROUND(H15*J15,2),0))</f>
        <v>100.0</v>
      </c>
      <c r="N15" s="11">
        <f>IF(A15="","",ROUND(M15*L15,2))</f>
        <v>5.0</v>
      </c>
      <c r="O15" s="11">
        <f>IF(A15="","",ROUND(M15-N15,2))</f>
        <v>95.0</v>
      </c>
      <c r="P15" s="8" t="s">
        <v>41</v>
      </c>
      <c r="Q15" s="8" t="s">
        <v>166</v>
      </c>
      <c r="R15" s="13">
        <f>IF(A15="","",IF(I15="Réalisé",H15,0))</f>
        <v>1</v>
      </c>
      <c r="S15" s="9" t="str">
        <f>IF(A15="","",IF(COUNTIF($A$2:$A$301,A15)&gt;1,"DOUBLON RDV",IF(COUNTIF(Clients!$A$2:$A$51,C15)&lt;&gt;1,"Client à corriger",IF(COUNTIF(Services!$A$2:$A$4,E15)&lt;&gt;1,"Service à corriger",IF(OR(NOT(ISNUMBER(B15)),G15&lt;=0,H15&lt;0,COUNTIF(ListeStatuts,I15)&lt;&gt;1,COUNTIF(ListeFactures,P15)&lt;&gt;1),"Saisie à corriger",IF(AND(I15="Réalisé",OR(H15&lt;=0,B15&gt;Parametres!$B$7)),"Réalisation à vérifier",IF(AND(P15="Émise",OR(Q15="",I15&lt;&gt;"Réalisé")),"Facture à corriger",IF(AND(Q15&lt;&gt;"",COUNTIF($Q$2:$Q$301,Q15)&gt;1),"DOUBLON FACTURE",IF(AND(I15="Réalisé",ABS(G15-H15)&gt;0.001,T15=""),"Écart heures","OK")))))))))</f>
        <v>OK</v>
      </c>
      <c r="T15" s="8"/>
    </row>
    <row r="16" spans="1:22" ht="22" customHeight="1">
      <c r="A16" s="8" t="s">
        <v>167</v>
      </c>
      <c r="B16" s="6">
        <v>46267</v>
      </c>
      <c r="C16" s="8" t="s">
        <v>69</v>
      </c>
      <c r="D16" s="9" t="str">
        <f>IF(C16="","",IFERROR(VLOOKUP(C16,Clients!$A$2:$M$51,12,FALSE),"CLIENT INCONNU"))</f>
        <v>Alex Démo</v>
      </c>
      <c r="E16" s="8" t="s">
        <v>34</v>
      </c>
      <c r="F16" s="9" t="str">
        <f>IF(E16="","",IFERROR(VLOOKUP(E16,Services!$A$2:$D$4,2,FALSE),"SERVICE INCONNU"))</f>
        <v>Julie Grandmaison</v>
      </c>
      <c r="G16" s="10">
        <v>1.5</v>
      </c>
      <c r="H16" s="10">
        <v>1.5</v>
      </c>
      <c r="I16" s="8" t="s">
        <v>37</v>
      </c>
      <c r="J16" s="11">
        <f>IF(E16="","",IFERROR(VLOOKUP(E16,Services!$A$2:$D$4,3,FALSE),0))</f>
        <v>100</v>
      </c>
      <c r="K16" s="9" t="str">
        <f>IF(C16="","",IFERROR(VLOOKUP(C16,Clients!$A$2:$M$51,11,FALSE),"Non"))</f>
        <v>Oui</v>
      </c>
      <c r="L16" s="12">
        <f>IF(A16="","",IF(I16&lt;&gt;"Réalisé",0,IF(E16&lt;&gt;"Sexologie",0,IF(K16&lt;&gt;"Oui",0,IF(AND(B16&gt;=Parametres!$B$2,B16&lt;=Parametres!$B$3),Parametres!$B$5,0)))))</f>
        <v>0.05</v>
      </c>
      <c r="M16" s="11">
        <f>IF(A16="","",IF(I16="Réalisé",ROUND(H16*J16,2),0))</f>
        <v>150.0</v>
      </c>
      <c r="N16" s="11">
        <f>IF(A16="","",ROUND(M16*L16,2))</f>
        <v>7.5</v>
      </c>
      <c r="O16" s="11">
        <f>IF(A16="","",ROUND(M16-N16,2))</f>
        <v>142.5</v>
      </c>
      <c r="P16" s="8" t="s">
        <v>41</v>
      </c>
      <c r="Q16" s="8" t="s">
        <v>168</v>
      </c>
      <c r="R16" s="13">
        <f>IF(A16="","",IF(I16="Réalisé",H16,0))</f>
        <v>1.5</v>
      </c>
      <c r="S16" s="9" t="str">
        <f>IF(A16="","",IF(COUNTIF($A$2:$A$301,A16)&gt;1,"DOUBLON RDV",IF(COUNTIF(Clients!$A$2:$A$51,C16)&lt;&gt;1,"Client à corriger",IF(COUNTIF(Services!$A$2:$A$4,E16)&lt;&gt;1,"Service à corriger",IF(OR(NOT(ISNUMBER(B16)),G16&lt;=0,H16&lt;0,COUNTIF(ListeStatuts,I16)&lt;&gt;1,COUNTIF(ListeFactures,P16)&lt;&gt;1),"Saisie à corriger",IF(AND(I16="Réalisé",OR(H16&lt;=0,B16&gt;Parametres!$B$7)),"Réalisation à vérifier",IF(AND(P16="Émise",OR(Q16="",I16&lt;&gt;"Réalisé")),"Facture à corriger",IF(AND(Q16&lt;&gt;"",COUNTIF($Q$2:$Q$301,Q16)&gt;1),"DOUBLON FACTURE",IF(AND(I16="Réalisé",ABS(G16-H16)&gt;0.001,T16=""),"Écart heures","OK")))))))))</f>
        <v>OK</v>
      </c>
      <c r="T16" s="8"/>
    </row>
    <row r="17" spans="1:20" ht="22" customHeight="1">
      <c r="A17" s="8" t="s">
        <v>169</v>
      </c>
      <c r="B17" s="6">
        <v>46268</v>
      </c>
      <c r="C17" s="8" t="s">
        <v>74</v>
      </c>
      <c r="D17" s="9" t="str">
        <f>IF(C17="","",IFERROR(VLOOKUP(C17,Clients!$A$2:$M$51,12,FALSE),"CLIENT INCONNU"))</f>
        <v>Claude Essai</v>
      </c>
      <c r="E17" s="8" t="s">
        <v>32</v>
      </c>
      <c r="F17" s="9" t="str">
        <f>IF(E17="","",IFERROR(VLOOKUP(E17,Services!$A$2:$D$4,2,FALSE),"SERVICE INCONNU"))</f>
        <v>Micheline Champagne</v>
      </c>
      <c r="G17" s="10">
        <v>1</v>
      </c>
      <c r="H17" s="10">
        <v>1</v>
      </c>
      <c r="I17" s="8" t="s">
        <v>37</v>
      </c>
      <c r="J17" s="11">
        <f>IF(E17="","",IFERROR(VLOOKUP(E17,Services!$A$2:$D$4,3,FALSE),0))</f>
        <v>120</v>
      </c>
      <c r="K17" s="9" t="str">
        <f>IF(C17="","",IFERROR(VLOOKUP(C17,Clients!$A$2:$M$51,11,FALSE),"Non"))</f>
        <v>Non</v>
      </c>
      <c r="L17" s="12">
        <f>IF(A17="","",IF(I17&lt;&gt;"Réalisé",0,IF(E17&lt;&gt;"Sexologie",0,IF(K17&lt;&gt;"Oui",0,IF(AND(B17&gt;=Parametres!$B$2,B17&lt;=Parametres!$B$3),Parametres!$B$5,0)))))</f>
        <v>0</v>
      </c>
      <c r="M17" s="11">
        <f>IF(A17="","",IF(I17="Réalisé",ROUND(H17*J17,2),0))</f>
        <v>120.0</v>
      </c>
      <c r="N17" s="11">
        <f>IF(A17="","",ROUND(M17*L17,2))</f>
        <v>0.0</v>
      </c>
      <c r="O17" s="11">
        <f>IF(A17="","",ROUND(M17-N17,2))</f>
        <v>120.0</v>
      </c>
      <c r="P17" s="8" t="s">
        <v>41</v>
      </c>
      <c r="Q17" s="8" t="s">
        <v>170</v>
      </c>
      <c r="R17" s="13">
        <f>IF(A17="","",IF(I17="Réalisé",H17,0))</f>
        <v>1</v>
      </c>
      <c r="S17" s="9" t="str">
        <f>IF(A17="","",IF(COUNTIF($A$2:$A$301,A17)&gt;1,"DOUBLON RDV",IF(COUNTIF(Clients!$A$2:$A$51,C17)&lt;&gt;1,"Client à corriger",IF(COUNTIF(Services!$A$2:$A$4,E17)&lt;&gt;1,"Service à corriger",IF(OR(NOT(ISNUMBER(B17)),G17&lt;=0,H17&lt;0,COUNTIF(ListeStatuts,I17)&lt;&gt;1,COUNTIF(ListeFactures,P17)&lt;&gt;1),"Saisie à corriger",IF(AND(I17="Réalisé",OR(H17&lt;=0,B17&gt;Parametres!$B$7)),"Réalisation à vérifier",IF(AND(P17="Émise",OR(Q17="",I17&lt;&gt;"Réalisé")),"Facture à corriger",IF(AND(Q17&lt;&gt;"",COUNTIF($Q$2:$Q$301,Q17)&gt;1),"DOUBLON FACTURE",IF(AND(I17="Réalisé",ABS(G17-H17)&gt;0.001,T17=""),"Écart heures","OK")))))))))</f>
        <v>OK</v>
      </c>
      <c r="T17" s="8"/>
    </row>
    <row r="18" spans="1:20" ht="22" customHeight="1">
      <c r="A18" s="8" t="s">
        <v>171</v>
      </c>
      <c r="B18" s="6">
        <v>46269</v>
      </c>
      <c r="C18" s="8" t="s">
        <v>79</v>
      </c>
      <c r="D18" s="9" t="str">
        <f>IF(C18="","",IFERROR(VLOOKUP(C18,Clients!$A$2:$M$51,12,FALSE),"CLIENT INCONNU"))</f>
        <v>Lou Modèle</v>
      </c>
      <c r="E18" s="8" t="s">
        <v>30</v>
      </c>
      <c r="F18" s="9" t="str">
        <f>IF(E18="","",IFERROR(VLOOKUP(E18,Services!$A$2:$D$4,2,FALSE),"SERVICE INCONNU"))</f>
        <v>Moumadou N’Tougu</v>
      </c>
      <c r="G18" s="10">
        <v>2</v>
      </c>
      <c r="H18" s="10">
        <v>2</v>
      </c>
      <c r="I18" s="8" t="s">
        <v>37</v>
      </c>
      <c r="J18" s="11">
        <f>IF(E18="","",IFERROR(VLOOKUP(E18,Services!$A$2:$D$4,3,FALSE),0))</f>
        <v>180</v>
      </c>
      <c r="K18" s="9" t="str">
        <f>IF(C18="","",IFERROR(VLOOKUP(C18,Clients!$A$2:$M$51,11,FALSE),"Non"))</f>
        <v>Non</v>
      </c>
      <c r="L18" s="12">
        <f>IF(A18="","",IF(I18&lt;&gt;"Réalisé",0,IF(E18&lt;&gt;"Sexologie",0,IF(K18&lt;&gt;"Oui",0,IF(AND(B18&gt;=Parametres!$B$2,B18&lt;=Parametres!$B$3),Parametres!$B$5,0)))))</f>
        <v>0</v>
      </c>
      <c r="M18" s="11">
        <f>IF(A18="","",IF(I18="Réalisé",ROUND(H18*J18,2),0))</f>
        <v>360.0</v>
      </c>
      <c r="N18" s="11">
        <f>IF(A18="","",ROUND(M18*L18,2))</f>
        <v>0.0</v>
      </c>
      <c r="O18" s="11">
        <f>IF(A18="","",ROUND(M18-N18,2))</f>
        <v>360.0</v>
      </c>
      <c r="P18" s="8" t="s">
        <v>41</v>
      </c>
      <c r="Q18" s="8" t="s">
        <v>172</v>
      </c>
      <c r="R18" s="13">
        <f>IF(A18="","",IF(I18="Réalisé",H18,0))</f>
        <v>2</v>
      </c>
      <c r="S18" s="9" t="str">
        <f>IF(A18="","",IF(COUNTIF($A$2:$A$301,A18)&gt;1,"DOUBLON RDV",IF(COUNTIF(Clients!$A$2:$A$51,C18)&lt;&gt;1,"Client à corriger",IF(COUNTIF(Services!$A$2:$A$4,E18)&lt;&gt;1,"Service à corriger",IF(OR(NOT(ISNUMBER(B18)),G18&lt;=0,H18&lt;0,COUNTIF(ListeStatuts,I18)&lt;&gt;1,COUNTIF(ListeFactures,P18)&lt;&gt;1),"Saisie à corriger",IF(AND(I18="Réalisé",OR(H18&lt;=0,B18&gt;Parametres!$B$7)),"Réalisation à vérifier",IF(AND(P18="Émise",OR(Q18="",I18&lt;&gt;"Réalisé")),"Facture à corriger",IF(AND(Q18&lt;&gt;"",COUNTIF($Q$2:$Q$301,Q18)&gt;1),"DOUBLON FACTURE",IF(AND(I18="Réalisé",ABS(G18-H18)&gt;0.001,T18=""),"Écart heures","OK")))))))))</f>
        <v>OK</v>
      </c>
      <c r="T18" s="8"/>
    </row>
    <row r="19" spans="1:20" ht="22" customHeight="1">
      <c r="A19" s="8" t="s">
        <v>173</v>
      </c>
      <c r="B19" s="6">
        <v>46270</v>
      </c>
      <c r="C19" s="8" t="s">
        <v>84</v>
      </c>
      <c r="D19" s="9" t="str">
        <f>IF(C19="","",IFERROR(VLOOKUP(C19,Clients!$A$2:$M$51,12,FALSE),"CLIENT INCONNU"))</f>
        <v>Dominique Fictif</v>
      </c>
      <c r="E19" s="8" t="s">
        <v>34</v>
      </c>
      <c r="F19" s="9" t="str">
        <f>IF(E19="","",IFERROR(VLOOKUP(E19,Services!$A$2:$D$4,2,FALSE),"SERVICE INCONNU"))</f>
        <v>Julie Grandmaison</v>
      </c>
      <c r="G19" s="10">
        <v>1</v>
      </c>
      <c r="H19" s="10">
        <v>1</v>
      </c>
      <c r="I19" s="8" t="s">
        <v>37</v>
      </c>
      <c r="J19" s="11">
        <f>IF(E19="","",IFERROR(VLOOKUP(E19,Services!$A$2:$D$4,3,FALSE),0))</f>
        <v>100</v>
      </c>
      <c r="K19" s="9" t="str">
        <f>IF(C19="","",IFERROR(VLOOKUP(C19,Clients!$A$2:$M$51,11,FALSE),"Non"))</f>
        <v>Non</v>
      </c>
      <c r="L19" s="12">
        <f>IF(A19="","",IF(I19&lt;&gt;"Réalisé",0,IF(E19&lt;&gt;"Sexologie",0,IF(K19&lt;&gt;"Oui",0,IF(AND(B19&gt;=Parametres!$B$2,B19&lt;=Parametres!$B$3),Parametres!$B$5,0)))))</f>
        <v>0</v>
      </c>
      <c r="M19" s="11">
        <f>IF(A19="","",IF(I19="Réalisé",ROUND(H19*J19,2),0))</f>
        <v>100.0</v>
      </c>
      <c r="N19" s="11">
        <f>IF(A19="","",ROUND(M19*L19,2))</f>
        <v>0.0</v>
      </c>
      <c r="O19" s="11">
        <f>IF(A19="","",ROUND(M19-N19,2))</f>
        <v>100.0</v>
      </c>
      <c r="P19" s="8" t="s">
        <v>40</v>
      </c>
      <c r="Q19" s="8"/>
      <c r="R19" s="13">
        <f>IF(A19="","",IF(I19="Réalisé",H19,0))</f>
        <v>1</v>
      </c>
      <c r="S19" s="9" t="str">
        <f>IF(A19="","",IF(COUNTIF($A$2:$A$301,A19)&gt;1,"DOUBLON RDV",IF(COUNTIF(Clients!$A$2:$A$51,C19)&lt;&gt;1,"Client à corriger",IF(COUNTIF(Services!$A$2:$A$4,E19)&lt;&gt;1,"Service à corriger",IF(OR(NOT(ISNUMBER(B19)),G19&lt;=0,H19&lt;0,COUNTIF(ListeStatuts,I19)&lt;&gt;1,COUNTIF(ListeFactures,P19)&lt;&gt;1),"Saisie à corriger",IF(AND(I19="Réalisé",OR(H19&lt;=0,B19&gt;Parametres!$B$7)),"Réalisation à vérifier",IF(AND(P19="Émise",OR(Q19="",I19&lt;&gt;"Réalisé")),"Facture à corriger",IF(AND(Q19&lt;&gt;"",COUNTIF($Q$2:$Q$301,Q19)&gt;1),"DOUBLON FACTURE",IF(AND(I19="Réalisé",ABS(G19-H19)&gt;0.001,T19=""),"Écart heures","OK")))))))))</f>
        <v>OK</v>
      </c>
      <c r="T19" s="8"/>
    </row>
    <row r="20" spans="1:20" ht="22" customHeight="1">
      <c r="A20" s="8" t="s">
        <v>174</v>
      </c>
      <c r="B20" s="6">
        <v>46271</v>
      </c>
      <c r="C20" s="8" t="s">
        <v>89</v>
      </c>
      <c r="D20" s="9" t="str">
        <f>IF(C20="","",IFERROR(VLOOKUP(C20,Clients!$A$2:$M$51,12,FALSE),"CLIENT INCONNU"))</f>
        <v>Sacha Témoin</v>
      </c>
      <c r="E20" s="8" t="s">
        <v>34</v>
      </c>
      <c r="F20" s="9" t="str">
        <f>IF(E20="","",IFERROR(VLOOKUP(E20,Services!$A$2:$D$4,2,FALSE),"SERVICE INCONNU"))</f>
        <v>Julie Grandmaison</v>
      </c>
      <c r="G20" s="10">
        <v>1</v>
      </c>
      <c r="H20" s="10">
        <v>1</v>
      </c>
      <c r="I20" s="8" t="s">
        <v>37</v>
      </c>
      <c r="J20" s="11">
        <f>IF(E20="","",IFERROR(VLOOKUP(E20,Services!$A$2:$D$4,3,FALSE),0))</f>
        <v>100</v>
      </c>
      <c r="K20" s="9" t="str">
        <f>IF(C20="","",IFERROR(VLOOKUP(C20,Clients!$A$2:$M$51,11,FALSE),"Non"))</f>
        <v>Non</v>
      </c>
      <c r="L20" s="12">
        <f>IF(A20="","",IF(I20&lt;&gt;"Réalisé",0,IF(E20&lt;&gt;"Sexologie",0,IF(K20&lt;&gt;"Oui",0,IF(AND(B20&gt;=Parametres!$B$2,B20&lt;=Parametres!$B$3),Parametres!$B$5,0)))))</f>
        <v>0</v>
      </c>
      <c r="M20" s="11">
        <f>IF(A20="","",IF(I20="Réalisé",ROUND(H20*J20,2),0))</f>
        <v>100.0</v>
      </c>
      <c r="N20" s="11">
        <f>IF(A20="","",ROUND(M20*L20,2))</f>
        <v>0.0</v>
      </c>
      <c r="O20" s="11">
        <f>IF(A20="","",ROUND(M20-N20,2))</f>
        <v>100.0</v>
      </c>
      <c r="P20" s="8" t="s">
        <v>40</v>
      </c>
      <c r="Q20" s="8"/>
      <c r="R20" s="13">
        <f>IF(A20="","",IF(I20="Réalisé",H20,0))</f>
        <v>1</v>
      </c>
      <c r="S20" s="9" t="str">
        <f>IF(A20="","",IF(COUNTIF($A$2:$A$301,A20)&gt;1,"DOUBLON RDV",IF(COUNTIF(Clients!$A$2:$A$51,C20)&lt;&gt;1,"Client à corriger",IF(COUNTIF(Services!$A$2:$A$4,E20)&lt;&gt;1,"Service à corriger",IF(OR(NOT(ISNUMBER(B20)),G20&lt;=0,H20&lt;0,COUNTIF(ListeStatuts,I20)&lt;&gt;1,COUNTIF(ListeFactures,P20)&lt;&gt;1),"Saisie à corriger",IF(AND(I20="Réalisé",OR(H20&lt;=0,B20&gt;Parametres!$B$7)),"Réalisation à vérifier",IF(AND(P20="Émise",OR(Q20="",I20&lt;&gt;"Réalisé")),"Facture à corriger",IF(AND(Q20&lt;&gt;"",COUNTIF($Q$2:$Q$301,Q20)&gt;1),"DOUBLON FACTURE",IF(AND(I20="Réalisé",ABS(G20-H20)&gt;0.001,T20=""),"Écart heures","OK")))))))))</f>
        <v>OK</v>
      </c>
      <c r="T20" s="8"/>
    </row>
    <row r="21" spans="1:20" ht="22" customHeight="1">
      <c r="A21" s="8" t="s">
        <v>175</v>
      </c>
      <c r="B21" s="6">
        <v>46272</v>
      </c>
      <c r="C21" s="8" t="s">
        <v>94</v>
      </c>
      <c r="D21" s="9" t="str">
        <f>IF(C21="","",IFERROR(VLOOKUP(C21,Clients!$A$2:$M$51,12,FALSE),"CLIENT INCONNU"))</f>
        <v>Charlie Test</v>
      </c>
      <c r="E21" s="8" t="s">
        <v>32</v>
      </c>
      <c r="F21" s="9" t="str">
        <f>IF(E21="","",IFERROR(VLOOKUP(E21,Services!$A$2:$D$4,2,FALSE),"SERVICE INCONNU"))</f>
        <v>Micheline Champagne</v>
      </c>
      <c r="G21" s="10">
        <v>1</v>
      </c>
      <c r="H21" s="10">
        <v>1</v>
      </c>
      <c r="I21" s="8" t="s">
        <v>37</v>
      </c>
      <c r="J21" s="11">
        <f>IF(E21="","",IFERROR(VLOOKUP(E21,Services!$A$2:$D$4,3,FALSE),0))</f>
        <v>120</v>
      </c>
      <c r="K21" s="9" t="str">
        <f>IF(C21="","",IFERROR(VLOOKUP(C21,Clients!$A$2:$M$51,11,FALSE),"Non"))</f>
        <v>Oui</v>
      </c>
      <c r="L21" s="12">
        <f>IF(A21="","",IF(I21&lt;&gt;"Réalisé",0,IF(E21&lt;&gt;"Sexologie",0,IF(K21&lt;&gt;"Oui",0,IF(AND(B21&gt;=Parametres!$B$2,B21&lt;=Parametres!$B$3),Parametres!$B$5,0)))))</f>
        <v>0</v>
      </c>
      <c r="M21" s="11">
        <f>IF(A21="","",IF(I21="Réalisé",ROUND(H21*J21,2),0))</f>
        <v>120.0</v>
      </c>
      <c r="N21" s="11">
        <f>IF(A21="","",ROUND(M21*L21,2))</f>
        <v>0.0</v>
      </c>
      <c r="O21" s="11">
        <f>IF(A21="","",ROUND(M21-N21,2))</f>
        <v>120.0</v>
      </c>
      <c r="P21" s="8" t="s">
        <v>40</v>
      </c>
      <c r="Q21" s="8"/>
      <c r="R21" s="13">
        <f>IF(A21="","",IF(I21="Réalisé",H21,0))</f>
        <v>1</v>
      </c>
      <c r="S21" s="9" t="str">
        <f>IF(A21="","",IF(COUNTIF($A$2:$A$301,A21)&gt;1,"DOUBLON RDV",IF(COUNTIF(Clients!$A$2:$A$51,C21)&lt;&gt;1,"Client à corriger",IF(COUNTIF(Services!$A$2:$A$4,E21)&lt;&gt;1,"Service à corriger",IF(OR(NOT(ISNUMBER(B21)),G21&lt;=0,H21&lt;0,COUNTIF(ListeStatuts,I21)&lt;&gt;1,COUNTIF(ListeFactures,P21)&lt;&gt;1),"Saisie à corriger",IF(AND(I21="Réalisé",OR(H21&lt;=0,B21&gt;Parametres!$B$7)),"Réalisation à vérifier",IF(AND(P21="Émise",OR(Q21="",I21&lt;&gt;"Réalisé")),"Facture à corriger",IF(AND(Q21&lt;&gt;"",COUNTIF($Q$2:$Q$301,Q21)&gt;1),"DOUBLON FACTURE",IF(AND(I21="Réalisé",ABS(G21-H21)&gt;0.001,T21=""),"Écart heures","OK")))))))))</f>
        <v>OK</v>
      </c>
      <c r="T21" s="8"/>
    </row>
    <row r="22" spans="1:20" ht="22" customHeight="1">
      <c r="A22" s="8" t="s">
        <v>176</v>
      </c>
      <c r="B22" s="6">
        <v>46273</v>
      </c>
      <c r="C22" s="8" t="s">
        <v>94</v>
      </c>
      <c r="D22" s="9" t="str">
        <f>IF(C22="","",IFERROR(VLOOKUP(C22,Clients!$A$2:$M$51,12,FALSE),"CLIENT INCONNU"))</f>
        <v>Charlie Test</v>
      </c>
      <c r="E22" s="8" t="s">
        <v>34</v>
      </c>
      <c r="F22" s="9" t="str">
        <f>IF(E22="","",IFERROR(VLOOKUP(E22,Services!$A$2:$D$4,2,FALSE),"SERVICE INCONNU"))</f>
        <v>Julie Grandmaison</v>
      </c>
      <c r="G22" s="10">
        <v>1</v>
      </c>
      <c r="H22" s="10">
        <v>1</v>
      </c>
      <c r="I22" s="8" t="s">
        <v>37</v>
      </c>
      <c r="J22" s="11">
        <f>IF(E22="","",IFERROR(VLOOKUP(E22,Services!$A$2:$D$4,3,FALSE),0))</f>
        <v>100</v>
      </c>
      <c r="K22" s="9" t="str">
        <f>IF(C22="","",IFERROR(VLOOKUP(C22,Clients!$A$2:$M$51,11,FALSE),"Non"))</f>
        <v>Oui</v>
      </c>
      <c r="L22" s="12">
        <f>IF(A22="","",IF(I22&lt;&gt;"Réalisé",0,IF(E22&lt;&gt;"Sexologie",0,IF(K22&lt;&gt;"Oui",0,IF(AND(B22&gt;=Parametres!$B$2,B22&lt;=Parametres!$B$3),Parametres!$B$5,0)))))</f>
        <v>0.05</v>
      </c>
      <c r="M22" s="11">
        <f>IF(A22="","",IF(I22="Réalisé",ROUND(H22*J22,2),0))</f>
        <v>100.0</v>
      </c>
      <c r="N22" s="11">
        <f>IF(A22="","",ROUND(M22*L22,2))</f>
        <v>5.0</v>
      </c>
      <c r="O22" s="11">
        <f>IF(A22="","",ROUND(M22-N22,2))</f>
        <v>95.0</v>
      </c>
      <c r="P22" s="8" t="s">
        <v>40</v>
      </c>
      <c r="Q22" s="8"/>
      <c r="R22" s="13">
        <f>IF(A22="","",IF(I22="Réalisé",H22,0))</f>
        <v>1</v>
      </c>
      <c r="S22" s="9" t="str">
        <f>IF(A22="","",IF(COUNTIF($A$2:$A$301,A22)&gt;1,"DOUBLON RDV",IF(COUNTIF(Clients!$A$2:$A$51,C22)&lt;&gt;1,"Client à corriger",IF(COUNTIF(Services!$A$2:$A$4,E22)&lt;&gt;1,"Service à corriger",IF(OR(NOT(ISNUMBER(B22)),G22&lt;=0,H22&lt;0,COUNTIF(ListeStatuts,I22)&lt;&gt;1,COUNTIF(ListeFactures,P22)&lt;&gt;1),"Saisie à corriger",IF(AND(I22="Réalisé",OR(H22&lt;=0,B22&gt;Parametres!$B$7)),"Réalisation à vérifier",IF(AND(P22="Émise",OR(Q22="",I22&lt;&gt;"Réalisé")),"Facture à corriger",IF(AND(Q22&lt;&gt;"",COUNTIF($Q$2:$Q$301,Q22)&gt;1),"DOUBLON FACTURE",IF(AND(I22="Réalisé",ABS(G22-H22)&gt;0.001,T22=""),"Écart heures","OK")))))))))</f>
        <v>OK</v>
      </c>
      <c r="T22" s="8"/>
    </row>
    <row r="23" spans="1:20" ht="22" customHeight="1">
      <c r="A23" s="8" t="s">
        <v>177</v>
      </c>
      <c r="B23" s="6">
        <v>46274</v>
      </c>
      <c r="C23" s="8" t="s">
        <v>99</v>
      </c>
      <c r="D23" s="9" t="str">
        <f>IF(C23="","",IFERROR(VLOOKUP(C23,Clients!$A$2:$M$51,12,FALSE),"CLIENT INCONNU"))</f>
        <v>Maxime Simulation</v>
      </c>
      <c r="E23" s="8" t="s">
        <v>34</v>
      </c>
      <c r="F23" s="9" t="str">
        <f>IF(E23="","",IFERROR(VLOOKUP(E23,Services!$A$2:$D$4,2,FALSE),"SERVICE INCONNU"))</f>
        <v>Julie Grandmaison</v>
      </c>
      <c r="G23" s="10">
        <v>1</v>
      </c>
      <c r="H23" s="10">
        <v>0</v>
      </c>
      <c r="I23" s="8" t="s">
        <v>38</v>
      </c>
      <c r="J23" s="11">
        <f>IF(E23="","",IFERROR(VLOOKUP(E23,Services!$A$2:$D$4,3,FALSE),0))</f>
        <v>100</v>
      </c>
      <c r="K23" s="9" t="str">
        <f>IF(C23="","",IFERROR(VLOOKUP(C23,Clients!$A$2:$M$51,11,FALSE),"Non"))</f>
        <v>Oui</v>
      </c>
      <c r="L23" s="12">
        <f>IF(A23="","",IF(I23&lt;&gt;"Réalisé",0,IF(E23&lt;&gt;"Sexologie",0,IF(K23&lt;&gt;"Oui",0,IF(AND(B23&gt;=Parametres!$B$2,B23&lt;=Parametres!$B$3),Parametres!$B$5,0)))))</f>
        <v>0</v>
      </c>
      <c r="M23" s="11">
        <f>IF(A23="","",IF(I23="Réalisé",ROUND(H23*J23,2),0))</f>
        <v>0</v>
      </c>
      <c r="N23" s="11">
        <f>IF(A23="","",ROUND(M23*L23,2))</f>
        <v>0.0</v>
      </c>
      <c r="O23" s="11">
        <f>IF(A23="","",ROUND(M23-N23,2))</f>
        <v>0.0</v>
      </c>
      <c r="P23" s="8" t="s">
        <v>40</v>
      </c>
      <c r="Q23" s="8"/>
      <c r="R23" s="13">
        <f>IF(A23="","",IF(I23="Réalisé",H23,0))</f>
        <v>0</v>
      </c>
      <c r="S23" s="9" t="str">
        <f>IF(A23="","",IF(COUNTIF($A$2:$A$301,A23)&gt;1,"DOUBLON RDV",IF(COUNTIF(Clients!$A$2:$A$51,C23)&lt;&gt;1,"Client à corriger",IF(COUNTIF(Services!$A$2:$A$4,E23)&lt;&gt;1,"Service à corriger",IF(OR(NOT(ISNUMBER(B23)),G23&lt;=0,H23&lt;0,COUNTIF(ListeStatuts,I23)&lt;&gt;1,COUNTIF(ListeFactures,P23)&lt;&gt;1),"Saisie à corriger",IF(AND(I23="Réalisé",OR(H23&lt;=0,B23&gt;Parametres!$B$7)),"Réalisation à vérifier",IF(AND(P23="Émise",OR(Q23="",I23&lt;&gt;"Réalisé")),"Facture à corriger",IF(AND(Q23&lt;&gt;"",COUNTIF($Q$2:$Q$301,Q23)&gt;1),"DOUBLON FACTURE",IF(AND(I23="Réalisé",ABS(G23-H23)&gt;0.001,T23=""),"Écart heures","OK")))))))))</f>
        <v>OK</v>
      </c>
      <c r="T23" s="8"/>
    </row>
    <row r="24" spans="1:20" ht="22" customHeight="1">
      <c r="A24" s="8" t="s">
        <v>178</v>
      </c>
      <c r="B24" s="6">
        <v>46275</v>
      </c>
      <c r="C24" s="8" t="s">
        <v>119</v>
      </c>
      <c r="D24" s="9" t="str">
        <f>IF(C24="","",IFERROR(VLOOKUP(C24,Clients!$A$2:$M$51,12,FALSE),"CLIENT INCONNU"))</f>
        <v>Alix Démonstration</v>
      </c>
      <c r="E24" s="8" t="s">
        <v>34</v>
      </c>
      <c r="F24" s="9" t="str">
        <f>IF(E24="","",IFERROR(VLOOKUP(E24,Services!$A$2:$D$4,2,FALSE),"SERVICE INCONNU"))</f>
        <v>Julie Grandmaison</v>
      </c>
      <c r="G24" s="10">
        <v>1</v>
      </c>
      <c r="H24" s="10">
        <v>1.25</v>
      </c>
      <c r="I24" s="8" t="s">
        <v>37</v>
      </c>
      <c r="J24" s="11">
        <f>IF(E24="","",IFERROR(VLOOKUP(E24,Services!$A$2:$D$4,3,FALSE),0))</f>
        <v>100</v>
      </c>
      <c r="K24" s="9" t="str">
        <f>IF(C24="","",IFERROR(VLOOKUP(C24,Clients!$A$2:$M$51,11,FALSE),"Non"))</f>
        <v>Oui</v>
      </c>
      <c r="L24" s="12">
        <f>IF(A24="","",IF(I24&lt;&gt;"Réalisé",0,IF(E24&lt;&gt;"Sexologie",0,IF(K24&lt;&gt;"Oui",0,IF(AND(B24&gt;=Parametres!$B$2,B24&lt;=Parametres!$B$3),Parametres!$B$5,0)))))</f>
        <v>0.05</v>
      </c>
      <c r="M24" s="11">
        <f>IF(A24="","",IF(I24="Réalisé",ROUND(H24*J24,2),0))</f>
        <v>125.0</v>
      </c>
      <c r="N24" s="11">
        <f>IF(A24="","",ROUND(M24*L24,2))</f>
        <v>6.25</v>
      </c>
      <c r="O24" s="11">
        <f>IF(A24="","",ROUND(M24-N24,2))</f>
        <v>118.75</v>
      </c>
      <c r="P24" s="8" t="s">
        <v>40</v>
      </c>
      <c r="Q24" s="8"/>
      <c r="R24" s="13">
        <f>IF(A24="","",IF(I24="Réalisé",H24,0))</f>
        <v>1.25</v>
      </c>
      <c r="S24" s="9" t="str">
        <f>IF(A24="","",IF(COUNTIF($A$2:$A$301,A24)&gt;1,"DOUBLON RDV",IF(COUNTIF(Clients!$A$2:$A$51,C24)&lt;&gt;1,"Client à corriger",IF(COUNTIF(Services!$A$2:$A$4,E24)&lt;&gt;1,"Service à corriger",IF(OR(NOT(ISNUMBER(B24)),G24&lt;=0,H24&lt;0,COUNTIF(ListeStatuts,I24)&lt;&gt;1,COUNTIF(ListeFactures,P24)&lt;&gt;1),"Saisie à corriger",IF(AND(I24="Réalisé",OR(H24&lt;=0,B24&gt;Parametres!$B$7)),"Réalisation à vérifier",IF(AND(P24="Émise",OR(Q24="",I24&lt;&gt;"Réalisé")),"Facture à corriger",IF(AND(Q24&lt;&gt;"",COUNTIF($Q$2:$Q$301,Q24)&gt;1),"DOUBLON FACTURE",IF(AND(I24="Réalisé",ABS(G24-H24)&gt;0.001,T24=""),"Écart heures","OK")))))))))</f>
        <v>Écart heures</v>
      </c>
      <c r="T24" s="8"/>
    </row>
    <row r="25" spans="1:20" ht="22" customHeight="1">
      <c r="A25" s="8" t="s">
        <v>179</v>
      </c>
      <c r="B25" s="6">
        <v>46283</v>
      </c>
      <c r="C25" s="8" t="s">
        <v>60</v>
      </c>
      <c r="D25" s="9" t="str">
        <f>IF(C25="","",IFERROR(VLOOKUP(C25,Clients!$A$2:$M$51,12,FALSE),"CLIENT INCONNU"))</f>
        <v>Camille Exemple</v>
      </c>
      <c r="E25" s="8" t="s">
        <v>34</v>
      </c>
      <c r="F25" s="9" t="str">
        <f>IF(E25="","",IFERROR(VLOOKUP(E25,Services!$A$2:$D$4,2,FALSE),"SERVICE INCONNU"))</f>
        <v>Julie Grandmaison</v>
      </c>
      <c r="G25" s="10">
        <v>1</v>
      </c>
      <c r="H25" s="10">
        <v>0</v>
      </c>
      <c r="I25" s="8" t="s">
        <v>36</v>
      </c>
      <c r="J25" s="11">
        <f>IF(E25="","",IFERROR(VLOOKUP(E25,Services!$A$2:$D$4,3,FALSE),0))</f>
        <v>100</v>
      </c>
      <c r="K25" s="9" t="str">
        <f>IF(C25="","",IFERROR(VLOOKUP(C25,Clients!$A$2:$M$51,11,FALSE),"Non"))</f>
        <v>Oui</v>
      </c>
      <c r="L25" s="12">
        <f>IF(A25="","",IF(I25&lt;&gt;"Réalisé",0,IF(E25&lt;&gt;"Sexologie",0,IF(K25&lt;&gt;"Oui",0,IF(AND(B25&gt;=Parametres!$B$2,B25&lt;=Parametres!$B$3),Parametres!$B$5,0)))))</f>
        <v>0</v>
      </c>
      <c r="M25" s="11">
        <f>IF(A25="","",IF(I25="Réalisé",ROUND(H25*J25,2),0))</f>
        <v>0</v>
      </c>
      <c r="N25" s="11">
        <f>IF(A25="","",ROUND(M25*L25,2))</f>
        <v>0.0</v>
      </c>
      <c r="O25" s="11">
        <f>IF(A25="","",ROUND(M25-N25,2))</f>
        <v>0.0</v>
      </c>
      <c r="P25" s="8" t="s">
        <v>40</v>
      </c>
      <c r="Q25" s="8"/>
      <c r="R25" s="13">
        <f>IF(A25="","",IF(I25="Réalisé",H25,0))</f>
        <v>0</v>
      </c>
      <c r="S25" s="9" t="str">
        <f>IF(A25="","",IF(COUNTIF($A$2:$A$301,A25)&gt;1,"DOUBLON RDV",IF(COUNTIF(Clients!$A$2:$A$51,C25)&lt;&gt;1,"Client à corriger",IF(COUNTIF(Services!$A$2:$A$4,E25)&lt;&gt;1,"Service à corriger",IF(OR(NOT(ISNUMBER(B25)),G25&lt;=0,H25&lt;0,COUNTIF(ListeStatuts,I25)&lt;&gt;1,COUNTIF(ListeFactures,P25)&lt;&gt;1),"Saisie à corriger",IF(AND(I25="Réalisé",OR(H25&lt;=0,B25&gt;Parametres!$B$7)),"Réalisation à vérifier",IF(AND(P25="Émise",OR(Q25="",I25&lt;&gt;"Réalisé")),"Facture à corriger",IF(AND(Q25&lt;&gt;"",COUNTIF($Q$2:$Q$301,Q25)&gt;1),"DOUBLON FACTURE",IF(AND(I25="Réalisé",ABS(G25-H25)&gt;0.001,T25=""),"Écart heures","OK")))))))))</f>
        <v>OK</v>
      </c>
      <c r="T25" s="8"/>
    </row>
    <row r="26" spans="1:20" ht="22" customHeight="1">
      <c r="A26" s="8" t="s">
        <v>180</v>
      </c>
      <c r="B26" s="6">
        <v>46286</v>
      </c>
      <c r="C26" s="8" t="s">
        <v>74</v>
      </c>
      <c r="D26" s="9" t="str">
        <f>IF(C26="","",IFERROR(VLOOKUP(C26,Clients!$A$2:$M$51,12,FALSE),"CLIENT INCONNU"))</f>
        <v>Claude Essai</v>
      </c>
      <c r="E26" s="8" t="s">
        <v>32</v>
      </c>
      <c r="F26" s="9" t="str">
        <f>IF(E26="","",IFERROR(VLOOKUP(E26,Services!$A$2:$D$4,2,FALSE),"SERVICE INCONNU"))</f>
        <v>Micheline Champagne</v>
      </c>
      <c r="G26" s="10">
        <v>1</v>
      </c>
      <c r="H26" s="10">
        <v>0</v>
      </c>
      <c r="I26" s="8" t="s">
        <v>36</v>
      </c>
      <c r="J26" s="11">
        <f>IF(E26="","",IFERROR(VLOOKUP(E26,Services!$A$2:$D$4,3,FALSE),0))</f>
        <v>120</v>
      </c>
      <c r="K26" s="9" t="str">
        <f>IF(C26="","",IFERROR(VLOOKUP(C26,Clients!$A$2:$M$51,11,FALSE),"Non"))</f>
        <v>Non</v>
      </c>
      <c r="L26" s="12">
        <f>IF(A26="","",IF(I26&lt;&gt;"Réalisé",0,IF(E26&lt;&gt;"Sexologie",0,IF(K26&lt;&gt;"Oui",0,IF(AND(B26&gt;=Parametres!$B$2,B26&lt;=Parametres!$B$3),Parametres!$B$5,0)))))</f>
        <v>0</v>
      </c>
      <c r="M26" s="11">
        <f>IF(A26="","",IF(I26="Réalisé",ROUND(H26*J26,2),0))</f>
        <v>0</v>
      </c>
      <c r="N26" s="11">
        <f>IF(A26="","",ROUND(M26*L26,2))</f>
        <v>0.0</v>
      </c>
      <c r="O26" s="11">
        <f>IF(A26="","",ROUND(M26-N26,2))</f>
        <v>0.0</v>
      </c>
      <c r="P26" s="8" t="s">
        <v>40</v>
      </c>
      <c r="Q26" s="8"/>
      <c r="R26" s="13">
        <f>IF(A26="","",IF(I26="Réalisé",H26,0))</f>
        <v>0</v>
      </c>
      <c r="S26" s="9" t="str">
        <f>IF(A26="","",IF(COUNTIF($A$2:$A$301,A26)&gt;1,"DOUBLON RDV",IF(COUNTIF(Clients!$A$2:$A$51,C26)&lt;&gt;1,"Client à corriger",IF(COUNTIF(Services!$A$2:$A$4,E26)&lt;&gt;1,"Service à corriger",IF(OR(NOT(ISNUMBER(B26)),G26&lt;=0,H26&lt;0,COUNTIF(ListeStatuts,I26)&lt;&gt;1,COUNTIF(ListeFactures,P26)&lt;&gt;1),"Saisie à corriger",IF(AND(I26="Réalisé",OR(H26&lt;=0,B26&gt;Parametres!$B$7)),"Réalisation à vérifier",IF(AND(P26="Émise",OR(Q26="",I26&lt;&gt;"Réalisé")),"Facture à corriger",IF(AND(Q26&lt;&gt;"",COUNTIF($Q$2:$Q$301,Q26)&gt;1),"DOUBLON FACTURE",IF(AND(I26="Réalisé",ABS(G26-H26)&gt;0.001,T26=""),"Écart heures","OK")))))))))</f>
        <v>OK</v>
      </c>
      <c r="T26" s="8"/>
    </row>
    <row r="27" spans="1:20" ht="22" customHeight="1">
      <c r="A27" s="8" t="s">
        <v>181</v>
      </c>
      <c r="B27" s="6">
        <v>46290</v>
      </c>
      <c r="C27" s="8" t="s">
        <v>79</v>
      </c>
      <c r="D27" s="9" t="str">
        <f>IF(C27="","",IFERROR(VLOOKUP(C27,Clients!$A$2:$M$51,12,FALSE),"CLIENT INCONNU"))</f>
        <v>Lou Modèle</v>
      </c>
      <c r="E27" s="8" t="s">
        <v>30</v>
      </c>
      <c r="F27" s="9" t="str">
        <f>IF(E27="","",IFERROR(VLOOKUP(E27,Services!$A$2:$D$4,2,FALSE),"SERVICE INCONNU"))</f>
        <v>Moumadou N’Tougu</v>
      </c>
      <c r="G27" s="10">
        <v>2</v>
      </c>
      <c r="H27" s="10">
        <v>0</v>
      </c>
      <c r="I27" s="8" t="s">
        <v>36</v>
      </c>
      <c r="J27" s="11">
        <f>IF(E27="","",IFERROR(VLOOKUP(E27,Services!$A$2:$D$4,3,FALSE),0))</f>
        <v>180</v>
      </c>
      <c r="K27" s="9" t="str">
        <f>IF(C27="","",IFERROR(VLOOKUP(C27,Clients!$A$2:$M$51,11,FALSE),"Non"))</f>
        <v>Non</v>
      </c>
      <c r="L27" s="12">
        <f>IF(A27="","",IF(I27&lt;&gt;"Réalisé",0,IF(E27&lt;&gt;"Sexologie",0,IF(K27&lt;&gt;"Oui",0,IF(AND(B27&gt;=Parametres!$B$2,B27&lt;=Parametres!$B$3),Parametres!$B$5,0)))))</f>
        <v>0</v>
      </c>
      <c r="M27" s="11">
        <f>IF(A27="","",IF(I27="Réalisé",ROUND(H27*J27,2),0))</f>
        <v>0</v>
      </c>
      <c r="N27" s="11">
        <f>IF(A27="","",ROUND(M27*L27,2))</f>
        <v>0.0</v>
      </c>
      <c r="O27" s="11">
        <f>IF(A27="","",ROUND(M27-N27,2))</f>
        <v>0.0</v>
      </c>
      <c r="P27" s="8" t="s">
        <v>40</v>
      </c>
      <c r="Q27" s="8"/>
      <c r="R27" s="13">
        <f>IF(A27="","",IF(I27="Réalisé",H27,0))</f>
        <v>0</v>
      </c>
      <c r="S27" s="9" t="str">
        <f>IF(A27="","",IF(COUNTIF($A$2:$A$301,A27)&gt;1,"DOUBLON RDV",IF(COUNTIF(Clients!$A$2:$A$51,C27)&lt;&gt;1,"Client à corriger",IF(COUNTIF(Services!$A$2:$A$4,E27)&lt;&gt;1,"Service à corriger",IF(OR(NOT(ISNUMBER(B27)),G27&lt;=0,H27&lt;0,COUNTIF(ListeStatuts,I27)&lt;&gt;1,COUNTIF(ListeFactures,P27)&lt;&gt;1),"Saisie à corriger",IF(AND(I27="Réalisé",OR(H27&lt;=0,B27&gt;Parametres!$B$7)),"Réalisation à vérifier",IF(AND(P27="Émise",OR(Q27="",I27&lt;&gt;"Réalisé")),"Facture à corriger",IF(AND(Q27&lt;&gt;"",COUNTIF($Q$2:$Q$301,Q27)&gt;1),"DOUBLON FACTURE",IF(AND(I27="Réalisé",ABS(G27-H27)&gt;0.001,T27=""),"Écart heures","OK")))))))))</f>
        <v>OK</v>
      </c>
      <c r="T27" s="8"/>
    </row>
    <row r="28" spans="1:20" ht="22" customHeight="1">
      <c r="A28" s="8" t="s">
        <v>182</v>
      </c>
      <c r="B28" s="6">
        <v>46630</v>
      </c>
      <c r="C28" s="8" t="s">
        <v>60</v>
      </c>
      <c r="D28" s="9" t="str">
        <f>IF(C28="","",IFERROR(VLOOKUP(C28,Clients!$A$2:$M$51,12,FALSE),"CLIENT INCONNU"))</f>
        <v>Camille Exemple</v>
      </c>
      <c r="E28" s="8" t="s">
        <v>34</v>
      </c>
      <c r="F28" s="9" t="str">
        <f>IF(E28="","",IFERROR(VLOOKUP(E28,Services!$A$2:$D$4,2,FALSE),"SERVICE INCONNU"))</f>
        <v>Julie Grandmaison</v>
      </c>
      <c r="G28" s="10">
        <v>1</v>
      </c>
      <c r="H28" s="10">
        <v>0</v>
      </c>
      <c r="I28" s="8" t="s">
        <v>36</v>
      </c>
      <c r="J28" s="11">
        <f>IF(E28="","",IFERROR(VLOOKUP(E28,Services!$A$2:$D$4,3,FALSE),0))</f>
        <v>100</v>
      </c>
      <c r="K28" s="9" t="str">
        <f>IF(C28="","",IFERROR(VLOOKUP(C28,Clients!$A$2:$M$51,11,FALSE),"Non"))</f>
        <v>Oui</v>
      </c>
      <c r="L28" s="12">
        <f>IF(A28="","",IF(I28&lt;&gt;"Réalisé",0,IF(E28&lt;&gt;"Sexologie",0,IF(K28&lt;&gt;"Oui",0,IF(AND(B28&gt;=Parametres!$B$2,B28&lt;=Parametres!$B$3),Parametres!$B$5,0)))))</f>
        <v>0</v>
      </c>
      <c r="M28" s="11">
        <f>IF(A28="","",IF(I28="Réalisé",ROUND(H28*J28,2),0))</f>
        <v>0</v>
      </c>
      <c r="N28" s="11">
        <f>IF(A28="","",ROUND(M28*L28,2))</f>
        <v>0.0</v>
      </c>
      <c r="O28" s="11">
        <f>IF(A28="","",ROUND(M28-N28,2))</f>
        <v>0.0</v>
      </c>
      <c r="P28" s="8" t="s">
        <v>40</v>
      </c>
      <c r="Q28" s="8"/>
      <c r="R28" s="13">
        <f>IF(A28="","",IF(I28="Réalisé",H28,0))</f>
        <v>0</v>
      </c>
      <c r="S28" s="9" t="str">
        <f>IF(A28="","",IF(COUNTIF($A$2:$A$301,A28)&gt;1,"DOUBLON RDV",IF(COUNTIF(Clients!$A$2:$A$51,C28)&lt;&gt;1,"Client à corriger",IF(COUNTIF(Services!$A$2:$A$4,E28)&lt;&gt;1,"Service à corriger",IF(OR(NOT(ISNUMBER(B28)),G28&lt;=0,H28&lt;0,COUNTIF(ListeStatuts,I28)&lt;&gt;1,COUNTIF(ListeFactures,P28)&lt;&gt;1),"Saisie à corriger",IF(AND(I28="Réalisé",OR(H28&lt;=0,B28&gt;Parametres!$B$7)),"Réalisation à vérifier",IF(AND(P28="Émise",OR(Q28="",I28&lt;&gt;"Réalisé")),"Facture à corriger",IF(AND(Q28&lt;&gt;"",COUNTIF($Q$2:$Q$301,Q28)&gt;1),"DOUBLON FACTURE",IF(AND(I28="Réalisé",ABS(G28-H28)&gt;0.001,T28=""),"Écart heures","OK")))))))))</f>
        <v>OK</v>
      </c>
      <c r="T28" s="8"/>
    </row>
    <row r="29" spans="1:20" ht="22" customHeight="1">
      <c r="A29" s="8" t="s">
        <v>183</v>
      </c>
      <c r="B29" s="6">
        <v>46631</v>
      </c>
      <c r="C29" s="8" t="s">
        <v>60</v>
      </c>
      <c r="D29" s="9" t="str">
        <f>IF(C29="","",IFERROR(VLOOKUP(C29,Clients!$A$2:$M$51,12,FALSE),"CLIENT INCONNU"))</f>
        <v>Camille Exemple</v>
      </c>
      <c r="E29" s="8" t="s">
        <v>34</v>
      </c>
      <c r="F29" s="9" t="str">
        <f>IF(E29="","",IFERROR(VLOOKUP(E29,Services!$A$2:$D$4,2,FALSE),"SERVICE INCONNU"))</f>
        <v>Julie Grandmaison</v>
      </c>
      <c r="G29" s="10">
        <v>1</v>
      </c>
      <c r="H29" s="10">
        <v>0</v>
      </c>
      <c r="I29" s="8" t="s">
        <v>36</v>
      </c>
      <c r="J29" s="11">
        <f>IF(E29="","",IFERROR(VLOOKUP(E29,Services!$A$2:$D$4,3,FALSE),0))</f>
        <v>100</v>
      </c>
      <c r="K29" s="9" t="str">
        <f>IF(C29="","",IFERROR(VLOOKUP(C29,Clients!$A$2:$M$51,11,FALSE),"Non"))</f>
        <v>Oui</v>
      </c>
      <c r="L29" s="12">
        <f>IF(A29="","",IF(I29&lt;&gt;"Réalisé",0,IF(E29&lt;&gt;"Sexologie",0,IF(K29&lt;&gt;"Oui",0,IF(AND(B29&gt;=Parametres!$B$2,B29&lt;=Parametres!$B$3),Parametres!$B$5,0)))))</f>
        <v>0</v>
      </c>
      <c r="M29" s="11">
        <f>IF(A29="","",IF(I29="Réalisé",ROUND(H29*J29,2),0))</f>
        <v>0</v>
      </c>
      <c r="N29" s="11">
        <f>IF(A29="","",ROUND(M29*L29,2))</f>
        <v>0.0</v>
      </c>
      <c r="O29" s="11">
        <f>IF(A29="","",ROUND(M29-N29,2))</f>
        <v>0.0</v>
      </c>
      <c r="P29" s="8" t="s">
        <v>40</v>
      </c>
      <c r="Q29" s="8"/>
      <c r="R29" s="13">
        <f>IF(A29="","",IF(I29="Réalisé",H29,0))</f>
        <v>0</v>
      </c>
      <c r="S29" s="9" t="str">
        <f>IF(A29="","",IF(COUNTIF($A$2:$A$301,A29)&gt;1,"DOUBLON RDV",IF(COUNTIF(Clients!$A$2:$A$51,C29)&lt;&gt;1,"Client à corriger",IF(COUNTIF(Services!$A$2:$A$4,E29)&lt;&gt;1,"Service à corriger",IF(OR(NOT(ISNUMBER(B29)),G29&lt;=0,H29&lt;0,COUNTIF(ListeStatuts,I29)&lt;&gt;1,COUNTIF(ListeFactures,P29)&lt;&gt;1),"Saisie à corriger",IF(AND(I29="Réalisé",OR(H29&lt;=0,B29&gt;Parametres!$B$7)),"Réalisation à vérifier",IF(AND(P29="Émise",OR(Q29="",I29&lt;&gt;"Réalisé")),"Facture à corriger",IF(AND(Q29&lt;&gt;"",COUNTIF($Q$2:$Q$301,Q29)&gt;1),"DOUBLON FACTURE",IF(AND(I29="Réalisé",ABS(G29-H29)&gt;0.001,T29=""),"Écart heures","OK")))))))))</f>
        <v>OK</v>
      </c>
      <c r="T29" s="8"/>
    </row>
    <row r="30" spans="1:20" ht="22" customHeight="1">
      <c r="A30" s="8"/>
      <c r="B30" s="6"/>
      <c r="C30" s="8"/>
      <c r="D30" s="9">
        <f>IF(C30="","",IFERROR(VLOOKUP(C30,Clients!$A$2:$M$51,12,FALSE),"CLIENT INCONNU"))</f>
        <v/>
      </c>
      <c r="E30" s="8"/>
      <c r="F30" s="9">
        <f>IF(E30="","",IFERROR(VLOOKUP(E30,Services!$A$2:$D$4,2,FALSE),"SERVICE INCONNU"))</f>
        <v/>
      </c>
      <c r="G30" s="8"/>
      <c r="H30" s="8"/>
      <c r="I30" s="8"/>
      <c r="J30" s="11">
        <f>IF(E30="","",IFERROR(VLOOKUP(E30,Services!$A$2:$D$4,3,FALSE),0))</f>
        <v/>
      </c>
      <c r="K30" s="9">
        <f>IF(C30="","",IFERROR(VLOOKUP(C30,Clients!$A$2:$M$51,11,FALSE),"Non"))</f>
        <v/>
      </c>
      <c r="L30" s="12">
        <f>IF(A30="","",IF(I30&lt;&gt;"Réalisé",0,IF(E30&lt;&gt;"Sexologie",0,IF(K30&lt;&gt;"Oui",0,IF(AND(B30&gt;=Parametres!$B$2,B30&lt;=Parametres!$B$3),Parametres!$B$5,0)))))</f>
        <v/>
      </c>
      <c r="M30" s="11">
        <f>IF(A30="","",IF(I30="Réalisé",ROUND(H30*J30,2),0))</f>
        <v/>
      </c>
      <c r="N30" s="11">
        <f>IF(A30="","",ROUND(M30*L30,2))</f>
        <v/>
      </c>
      <c r="O30" s="11">
        <f>IF(A30="","",ROUND(M30-N30,2))</f>
        <v/>
      </c>
      <c r="P30" s="8"/>
      <c r="Q30" s="8"/>
      <c r="R30" s="13">
        <f>IF(A30="","",IF(I30="Réalisé",H30,0))</f>
        <v/>
      </c>
      <c r="S30" s="9">
        <f>IF(A30="","",IF(COUNTIF($A$2:$A$301,A30)&gt;1,"DOUBLON RDV",IF(COUNTIF(Clients!$A$2:$A$51,C30)&lt;&gt;1,"Client à corriger",IF(COUNTIF(Services!$A$2:$A$4,E30)&lt;&gt;1,"Service à corriger",IF(OR(NOT(ISNUMBER(B30)),G30&lt;=0,H30&lt;0,COUNTIF(ListeStatuts,I30)&lt;&gt;1,COUNTIF(ListeFactures,P30)&lt;&gt;1),"Saisie à corriger",IF(AND(I30="Réalisé",OR(H30&lt;=0,B30&gt;Parametres!$B$7)),"Réalisation à vérifier",IF(AND(P30="Émise",OR(Q30="",I30&lt;&gt;"Réalisé")),"Facture à corriger",IF(AND(Q30&lt;&gt;"",COUNTIF($Q$2:$Q$301,Q30)&gt;1),"DOUBLON FACTURE",IF(AND(I30="Réalisé",ABS(G30-H30)&gt;0.001,T30=""),"Écart heures","OK")))))))))</f>
        <v/>
      </c>
      <c r="T30" s="8"/>
    </row>
    <row r="31" spans="1:20" ht="22" customHeight="1">
      <c r="A31" s="8"/>
      <c r="B31" s="6"/>
      <c r="C31" s="8"/>
      <c r="D31" s="9">
        <f>IF(C31="","",IFERROR(VLOOKUP(C31,Clients!$A$2:$M$51,12,FALSE),"CLIENT INCONNU"))</f>
        <v/>
      </c>
      <c r="E31" s="8"/>
      <c r="F31" s="9">
        <f>IF(E31="","",IFERROR(VLOOKUP(E31,Services!$A$2:$D$4,2,FALSE),"SERVICE INCONNU"))</f>
        <v/>
      </c>
      <c r="G31" s="8"/>
      <c r="H31" s="8"/>
      <c r="I31" s="8"/>
      <c r="J31" s="11">
        <f>IF(E31="","",IFERROR(VLOOKUP(E31,Services!$A$2:$D$4,3,FALSE),0))</f>
        <v/>
      </c>
      <c r="K31" s="9">
        <f>IF(C31="","",IFERROR(VLOOKUP(C31,Clients!$A$2:$M$51,11,FALSE),"Non"))</f>
        <v/>
      </c>
      <c r="L31" s="12">
        <f>IF(A31="","",IF(I31&lt;&gt;"Réalisé",0,IF(E31&lt;&gt;"Sexologie",0,IF(K31&lt;&gt;"Oui",0,IF(AND(B31&gt;=Parametres!$B$2,B31&lt;=Parametres!$B$3),Parametres!$B$5,0)))))</f>
        <v/>
      </c>
      <c r="M31" s="11">
        <f>IF(A31="","",IF(I31="Réalisé",ROUND(H31*J31,2),0))</f>
        <v/>
      </c>
      <c r="N31" s="11">
        <f>IF(A31="","",ROUND(M31*L31,2))</f>
        <v/>
      </c>
      <c r="O31" s="11">
        <f>IF(A31="","",ROUND(M31-N31,2))</f>
        <v/>
      </c>
      <c r="P31" s="8"/>
      <c r="Q31" s="8"/>
      <c r="R31" s="13">
        <f>IF(A31="","",IF(I31="Réalisé",H31,0))</f>
        <v/>
      </c>
      <c r="S31" s="9">
        <f>IF(A31="","",IF(COUNTIF($A$2:$A$301,A31)&gt;1,"DOUBLON RDV",IF(COUNTIF(Clients!$A$2:$A$51,C31)&lt;&gt;1,"Client à corriger",IF(COUNTIF(Services!$A$2:$A$4,E31)&lt;&gt;1,"Service à corriger",IF(OR(NOT(ISNUMBER(B31)),G31&lt;=0,H31&lt;0,COUNTIF(ListeStatuts,I31)&lt;&gt;1,COUNTIF(ListeFactures,P31)&lt;&gt;1),"Saisie à corriger",IF(AND(I31="Réalisé",OR(H31&lt;=0,B31&gt;Parametres!$B$7)),"Réalisation à vérifier",IF(AND(P31="Émise",OR(Q31="",I31&lt;&gt;"Réalisé")),"Facture à corriger",IF(AND(Q31&lt;&gt;"",COUNTIF($Q$2:$Q$301,Q31)&gt;1),"DOUBLON FACTURE",IF(AND(I31="Réalisé",ABS(G31-H31)&gt;0.001,T31=""),"Écart heures","OK")))))))))</f>
        <v/>
      </c>
      <c r="T31" s="8"/>
    </row>
    <row r="32" spans="1:20" ht="22" customHeight="1">
      <c r="A32" s="8"/>
      <c r="B32" s="6"/>
      <c r="C32" s="8"/>
      <c r="D32" s="9">
        <f>IF(C32="","",IFERROR(VLOOKUP(C32,Clients!$A$2:$M$51,12,FALSE),"CLIENT INCONNU"))</f>
        <v/>
      </c>
      <c r="E32" s="8"/>
      <c r="F32" s="9">
        <f>IF(E32="","",IFERROR(VLOOKUP(E32,Services!$A$2:$D$4,2,FALSE),"SERVICE INCONNU"))</f>
        <v/>
      </c>
      <c r="G32" s="8"/>
      <c r="H32" s="8"/>
      <c r="I32" s="8"/>
      <c r="J32" s="11">
        <f>IF(E32="","",IFERROR(VLOOKUP(E32,Services!$A$2:$D$4,3,FALSE),0))</f>
        <v/>
      </c>
      <c r="K32" s="9">
        <f>IF(C32="","",IFERROR(VLOOKUP(C32,Clients!$A$2:$M$51,11,FALSE),"Non"))</f>
        <v/>
      </c>
      <c r="L32" s="12">
        <f>IF(A32="","",IF(I32&lt;&gt;"Réalisé",0,IF(E32&lt;&gt;"Sexologie",0,IF(K32&lt;&gt;"Oui",0,IF(AND(B32&gt;=Parametres!$B$2,B32&lt;=Parametres!$B$3),Parametres!$B$5,0)))))</f>
        <v/>
      </c>
      <c r="M32" s="11">
        <f>IF(A32="","",IF(I32="Réalisé",ROUND(H32*J32,2),0))</f>
        <v/>
      </c>
      <c r="N32" s="11">
        <f>IF(A32="","",ROUND(M32*L32,2))</f>
        <v/>
      </c>
      <c r="O32" s="11">
        <f>IF(A32="","",ROUND(M32-N32,2))</f>
        <v/>
      </c>
      <c r="P32" s="8"/>
      <c r="Q32" s="8"/>
      <c r="R32" s="13">
        <f>IF(A32="","",IF(I32="Réalisé",H32,0))</f>
        <v/>
      </c>
      <c r="S32" s="9">
        <f>IF(A32="","",IF(COUNTIF($A$2:$A$301,A32)&gt;1,"DOUBLON RDV",IF(COUNTIF(Clients!$A$2:$A$51,C32)&lt;&gt;1,"Client à corriger",IF(COUNTIF(Services!$A$2:$A$4,E32)&lt;&gt;1,"Service à corriger",IF(OR(NOT(ISNUMBER(B32)),G32&lt;=0,H32&lt;0,COUNTIF(ListeStatuts,I32)&lt;&gt;1,COUNTIF(ListeFactures,P32)&lt;&gt;1),"Saisie à corriger",IF(AND(I32="Réalisé",OR(H32&lt;=0,B32&gt;Parametres!$B$7)),"Réalisation à vérifier",IF(AND(P32="Émise",OR(Q32="",I32&lt;&gt;"Réalisé")),"Facture à corriger",IF(AND(Q32&lt;&gt;"",COUNTIF($Q$2:$Q$301,Q32)&gt;1),"DOUBLON FACTURE",IF(AND(I32="Réalisé",ABS(G32-H32)&gt;0.001,T32=""),"Écart heures","OK")))))))))</f>
        <v/>
      </c>
      <c r="T32" s="8"/>
    </row>
    <row r="33" spans="1:20" ht="22" customHeight="1">
      <c r="A33" s="8"/>
      <c r="B33" s="6"/>
      <c r="C33" s="8"/>
      <c r="D33" s="9">
        <f>IF(C33="","",IFERROR(VLOOKUP(C33,Clients!$A$2:$M$51,12,FALSE),"CLIENT INCONNU"))</f>
        <v/>
      </c>
      <c r="E33" s="8"/>
      <c r="F33" s="9">
        <f>IF(E33="","",IFERROR(VLOOKUP(E33,Services!$A$2:$D$4,2,FALSE),"SERVICE INCONNU"))</f>
        <v/>
      </c>
      <c r="G33" s="8"/>
      <c r="H33" s="8"/>
      <c r="I33" s="8"/>
      <c r="J33" s="11">
        <f>IF(E33="","",IFERROR(VLOOKUP(E33,Services!$A$2:$D$4,3,FALSE),0))</f>
        <v/>
      </c>
      <c r="K33" s="9">
        <f>IF(C33="","",IFERROR(VLOOKUP(C33,Clients!$A$2:$M$51,11,FALSE),"Non"))</f>
        <v/>
      </c>
      <c r="L33" s="12">
        <f>IF(A33="","",IF(I33&lt;&gt;"Réalisé",0,IF(E33&lt;&gt;"Sexologie",0,IF(K33&lt;&gt;"Oui",0,IF(AND(B33&gt;=Parametres!$B$2,B33&lt;=Parametres!$B$3),Parametres!$B$5,0)))))</f>
        <v/>
      </c>
      <c r="M33" s="11">
        <f>IF(A33="","",IF(I33="Réalisé",ROUND(H33*J33,2),0))</f>
        <v/>
      </c>
      <c r="N33" s="11">
        <f>IF(A33="","",ROUND(M33*L33,2))</f>
        <v/>
      </c>
      <c r="O33" s="11">
        <f>IF(A33="","",ROUND(M33-N33,2))</f>
        <v/>
      </c>
      <c r="P33" s="8"/>
      <c r="Q33" s="8"/>
      <c r="R33" s="13">
        <f>IF(A33="","",IF(I33="Réalisé",H33,0))</f>
        <v/>
      </c>
      <c r="S33" s="9">
        <f>IF(A33="","",IF(COUNTIF($A$2:$A$301,A33)&gt;1,"DOUBLON RDV",IF(COUNTIF(Clients!$A$2:$A$51,C33)&lt;&gt;1,"Client à corriger",IF(COUNTIF(Services!$A$2:$A$4,E33)&lt;&gt;1,"Service à corriger",IF(OR(NOT(ISNUMBER(B33)),G33&lt;=0,H33&lt;0,COUNTIF(ListeStatuts,I33)&lt;&gt;1,COUNTIF(ListeFactures,P33)&lt;&gt;1),"Saisie à corriger",IF(AND(I33="Réalisé",OR(H33&lt;=0,B33&gt;Parametres!$B$7)),"Réalisation à vérifier",IF(AND(P33="Émise",OR(Q33="",I33&lt;&gt;"Réalisé")),"Facture à corriger",IF(AND(Q33&lt;&gt;"",COUNTIF($Q$2:$Q$301,Q33)&gt;1),"DOUBLON FACTURE",IF(AND(I33="Réalisé",ABS(G33-H33)&gt;0.001,T33=""),"Écart heures","OK")))))))))</f>
        <v/>
      </c>
      <c r="T33" s="8"/>
    </row>
    <row r="34" spans="1:20" ht="22" customHeight="1">
      <c r="A34" s="8"/>
      <c r="B34" s="6"/>
      <c r="C34" s="8"/>
      <c r="D34" s="9">
        <f>IF(C34="","",IFERROR(VLOOKUP(C34,Clients!$A$2:$M$51,12,FALSE),"CLIENT INCONNU"))</f>
        <v/>
      </c>
      <c r="E34" s="8"/>
      <c r="F34" s="9">
        <f>IF(E34="","",IFERROR(VLOOKUP(E34,Services!$A$2:$D$4,2,FALSE),"SERVICE INCONNU"))</f>
        <v/>
      </c>
      <c r="G34" s="8"/>
      <c r="H34" s="8"/>
      <c r="I34" s="8"/>
      <c r="J34" s="11">
        <f>IF(E34="","",IFERROR(VLOOKUP(E34,Services!$A$2:$D$4,3,FALSE),0))</f>
        <v/>
      </c>
      <c r="K34" s="9">
        <f>IF(C34="","",IFERROR(VLOOKUP(C34,Clients!$A$2:$M$51,11,FALSE),"Non"))</f>
        <v/>
      </c>
      <c r="L34" s="12">
        <f>IF(A34="","",IF(I34&lt;&gt;"Réalisé",0,IF(E34&lt;&gt;"Sexologie",0,IF(K34&lt;&gt;"Oui",0,IF(AND(B34&gt;=Parametres!$B$2,B34&lt;=Parametres!$B$3),Parametres!$B$5,0)))))</f>
        <v/>
      </c>
      <c r="M34" s="11">
        <f>IF(A34="","",IF(I34="Réalisé",ROUND(H34*J34,2),0))</f>
        <v/>
      </c>
      <c r="N34" s="11">
        <f>IF(A34="","",ROUND(M34*L34,2))</f>
        <v/>
      </c>
      <c r="O34" s="11">
        <f>IF(A34="","",ROUND(M34-N34,2))</f>
        <v/>
      </c>
      <c r="P34" s="8"/>
      <c r="Q34" s="8"/>
      <c r="R34" s="13">
        <f>IF(A34="","",IF(I34="Réalisé",H34,0))</f>
        <v/>
      </c>
      <c r="S34" s="9">
        <f>IF(A34="","",IF(COUNTIF($A$2:$A$301,A34)&gt;1,"DOUBLON RDV",IF(COUNTIF(Clients!$A$2:$A$51,C34)&lt;&gt;1,"Client à corriger",IF(COUNTIF(Services!$A$2:$A$4,E34)&lt;&gt;1,"Service à corriger",IF(OR(NOT(ISNUMBER(B34)),G34&lt;=0,H34&lt;0,COUNTIF(ListeStatuts,I34)&lt;&gt;1,COUNTIF(ListeFactures,P34)&lt;&gt;1),"Saisie à corriger",IF(AND(I34="Réalisé",OR(H34&lt;=0,B34&gt;Parametres!$B$7)),"Réalisation à vérifier",IF(AND(P34="Émise",OR(Q34="",I34&lt;&gt;"Réalisé")),"Facture à corriger",IF(AND(Q34&lt;&gt;"",COUNTIF($Q$2:$Q$301,Q34)&gt;1),"DOUBLON FACTURE",IF(AND(I34="Réalisé",ABS(G34-H34)&gt;0.001,T34=""),"Écart heures","OK")))))))))</f>
        <v/>
      </c>
      <c r="T34" s="8"/>
    </row>
    <row r="35" spans="1:20" ht="22" customHeight="1">
      <c r="A35" s="8"/>
      <c r="B35" s="6"/>
      <c r="C35" s="8"/>
      <c r="D35" s="9">
        <f>IF(C35="","",IFERROR(VLOOKUP(C35,Clients!$A$2:$M$51,12,FALSE),"CLIENT INCONNU"))</f>
        <v/>
      </c>
      <c r="E35" s="8"/>
      <c r="F35" s="9">
        <f>IF(E35="","",IFERROR(VLOOKUP(E35,Services!$A$2:$D$4,2,FALSE),"SERVICE INCONNU"))</f>
        <v/>
      </c>
      <c r="G35" s="8"/>
      <c r="H35" s="8"/>
      <c r="I35" s="8"/>
      <c r="J35" s="11">
        <f>IF(E35="","",IFERROR(VLOOKUP(E35,Services!$A$2:$D$4,3,FALSE),0))</f>
        <v/>
      </c>
      <c r="K35" s="9">
        <f>IF(C35="","",IFERROR(VLOOKUP(C35,Clients!$A$2:$M$51,11,FALSE),"Non"))</f>
        <v/>
      </c>
      <c r="L35" s="12">
        <f>IF(A35="","",IF(I35&lt;&gt;"Réalisé",0,IF(E35&lt;&gt;"Sexologie",0,IF(K35&lt;&gt;"Oui",0,IF(AND(B35&gt;=Parametres!$B$2,B35&lt;=Parametres!$B$3),Parametres!$B$5,0)))))</f>
        <v/>
      </c>
      <c r="M35" s="11">
        <f>IF(A35="","",IF(I35="Réalisé",ROUND(H35*J35,2),0))</f>
        <v/>
      </c>
      <c r="N35" s="11">
        <f>IF(A35="","",ROUND(M35*L35,2))</f>
        <v/>
      </c>
      <c r="O35" s="11">
        <f>IF(A35="","",ROUND(M35-N35,2))</f>
        <v/>
      </c>
      <c r="P35" s="8"/>
      <c r="Q35" s="8"/>
      <c r="R35" s="13">
        <f>IF(A35="","",IF(I35="Réalisé",H35,0))</f>
        <v/>
      </c>
      <c r="S35" s="9">
        <f>IF(A35="","",IF(COUNTIF($A$2:$A$301,A35)&gt;1,"DOUBLON RDV",IF(COUNTIF(Clients!$A$2:$A$51,C35)&lt;&gt;1,"Client à corriger",IF(COUNTIF(Services!$A$2:$A$4,E35)&lt;&gt;1,"Service à corriger",IF(OR(NOT(ISNUMBER(B35)),G35&lt;=0,H35&lt;0,COUNTIF(ListeStatuts,I35)&lt;&gt;1,COUNTIF(ListeFactures,P35)&lt;&gt;1),"Saisie à corriger",IF(AND(I35="Réalisé",OR(H35&lt;=0,B35&gt;Parametres!$B$7)),"Réalisation à vérifier",IF(AND(P35="Émise",OR(Q35="",I35&lt;&gt;"Réalisé")),"Facture à corriger",IF(AND(Q35&lt;&gt;"",COUNTIF($Q$2:$Q$301,Q35)&gt;1),"DOUBLON FACTURE",IF(AND(I35="Réalisé",ABS(G35-H35)&gt;0.001,T35=""),"Écart heures","OK")))))))))</f>
        <v/>
      </c>
      <c r="T35" s="8"/>
    </row>
    <row r="36" spans="1:20" ht="22" customHeight="1">
      <c r="A36" s="8"/>
      <c r="B36" s="6"/>
      <c r="C36" s="8"/>
      <c r="D36" s="9">
        <f>IF(C36="","",IFERROR(VLOOKUP(C36,Clients!$A$2:$M$51,12,FALSE),"CLIENT INCONNU"))</f>
        <v/>
      </c>
      <c r="E36" s="8"/>
      <c r="F36" s="9">
        <f>IF(E36="","",IFERROR(VLOOKUP(E36,Services!$A$2:$D$4,2,FALSE),"SERVICE INCONNU"))</f>
        <v/>
      </c>
      <c r="G36" s="8"/>
      <c r="H36" s="8"/>
      <c r="I36" s="8"/>
      <c r="J36" s="11">
        <f>IF(E36="","",IFERROR(VLOOKUP(E36,Services!$A$2:$D$4,3,FALSE),0))</f>
        <v/>
      </c>
      <c r="K36" s="9">
        <f>IF(C36="","",IFERROR(VLOOKUP(C36,Clients!$A$2:$M$51,11,FALSE),"Non"))</f>
        <v/>
      </c>
      <c r="L36" s="12">
        <f>IF(A36="","",IF(I36&lt;&gt;"Réalisé",0,IF(E36&lt;&gt;"Sexologie",0,IF(K36&lt;&gt;"Oui",0,IF(AND(B36&gt;=Parametres!$B$2,B36&lt;=Parametres!$B$3),Parametres!$B$5,0)))))</f>
        <v/>
      </c>
      <c r="M36" s="11">
        <f>IF(A36="","",IF(I36="Réalisé",ROUND(H36*J36,2),0))</f>
        <v/>
      </c>
      <c r="N36" s="11">
        <f>IF(A36="","",ROUND(M36*L36,2))</f>
        <v/>
      </c>
      <c r="O36" s="11">
        <f>IF(A36="","",ROUND(M36-N36,2))</f>
        <v/>
      </c>
      <c r="P36" s="8"/>
      <c r="Q36" s="8"/>
      <c r="R36" s="13">
        <f>IF(A36="","",IF(I36="Réalisé",H36,0))</f>
        <v/>
      </c>
      <c r="S36" s="9">
        <f>IF(A36="","",IF(COUNTIF($A$2:$A$301,A36)&gt;1,"DOUBLON RDV",IF(COUNTIF(Clients!$A$2:$A$51,C36)&lt;&gt;1,"Client à corriger",IF(COUNTIF(Services!$A$2:$A$4,E36)&lt;&gt;1,"Service à corriger",IF(OR(NOT(ISNUMBER(B36)),G36&lt;=0,H36&lt;0,COUNTIF(ListeStatuts,I36)&lt;&gt;1,COUNTIF(ListeFactures,P36)&lt;&gt;1),"Saisie à corriger",IF(AND(I36="Réalisé",OR(H36&lt;=0,B36&gt;Parametres!$B$7)),"Réalisation à vérifier",IF(AND(P36="Émise",OR(Q36="",I36&lt;&gt;"Réalisé")),"Facture à corriger",IF(AND(Q36&lt;&gt;"",COUNTIF($Q$2:$Q$301,Q36)&gt;1),"DOUBLON FACTURE",IF(AND(I36="Réalisé",ABS(G36-H36)&gt;0.001,T36=""),"Écart heures","OK")))))))))</f>
        <v/>
      </c>
      <c r="T36" s="8"/>
    </row>
    <row r="37" spans="1:20" ht="22" customHeight="1">
      <c r="A37" s="8"/>
      <c r="B37" s="6"/>
      <c r="C37" s="8"/>
      <c r="D37" s="9">
        <f>IF(C37="","",IFERROR(VLOOKUP(C37,Clients!$A$2:$M$51,12,FALSE),"CLIENT INCONNU"))</f>
        <v/>
      </c>
      <c r="E37" s="8"/>
      <c r="F37" s="9">
        <f>IF(E37="","",IFERROR(VLOOKUP(E37,Services!$A$2:$D$4,2,FALSE),"SERVICE INCONNU"))</f>
        <v/>
      </c>
      <c r="G37" s="8"/>
      <c r="H37" s="8"/>
      <c r="I37" s="8"/>
      <c r="J37" s="11">
        <f>IF(E37="","",IFERROR(VLOOKUP(E37,Services!$A$2:$D$4,3,FALSE),0))</f>
        <v/>
      </c>
      <c r="K37" s="9">
        <f>IF(C37="","",IFERROR(VLOOKUP(C37,Clients!$A$2:$M$51,11,FALSE),"Non"))</f>
        <v/>
      </c>
      <c r="L37" s="12">
        <f>IF(A37="","",IF(I37&lt;&gt;"Réalisé",0,IF(E37&lt;&gt;"Sexologie",0,IF(K37&lt;&gt;"Oui",0,IF(AND(B37&gt;=Parametres!$B$2,B37&lt;=Parametres!$B$3),Parametres!$B$5,0)))))</f>
        <v/>
      </c>
      <c r="M37" s="11">
        <f>IF(A37="","",IF(I37="Réalisé",ROUND(H37*J37,2),0))</f>
        <v/>
      </c>
      <c r="N37" s="11">
        <f>IF(A37="","",ROUND(M37*L37,2))</f>
        <v/>
      </c>
      <c r="O37" s="11">
        <f>IF(A37="","",ROUND(M37-N37,2))</f>
        <v/>
      </c>
      <c r="P37" s="8"/>
      <c r="Q37" s="8"/>
      <c r="R37" s="13">
        <f>IF(A37="","",IF(I37="Réalisé",H37,0))</f>
        <v/>
      </c>
      <c r="S37" s="9">
        <f>IF(A37="","",IF(COUNTIF($A$2:$A$301,A37)&gt;1,"DOUBLON RDV",IF(COUNTIF(Clients!$A$2:$A$51,C37)&lt;&gt;1,"Client à corriger",IF(COUNTIF(Services!$A$2:$A$4,E37)&lt;&gt;1,"Service à corriger",IF(OR(NOT(ISNUMBER(B37)),G37&lt;=0,H37&lt;0,COUNTIF(ListeStatuts,I37)&lt;&gt;1,COUNTIF(ListeFactures,P37)&lt;&gt;1),"Saisie à corriger",IF(AND(I37="Réalisé",OR(H37&lt;=0,B37&gt;Parametres!$B$7)),"Réalisation à vérifier",IF(AND(P37="Émise",OR(Q37="",I37&lt;&gt;"Réalisé")),"Facture à corriger",IF(AND(Q37&lt;&gt;"",COUNTIF($Q$2:$Q$301,Q37)&gt;1),"DOUBLON FACTURE",IF(AND(I37="Réalisé",ABS(G37-H37)&gt;0.001,T37=""),"Écart heures","OK")))))))))</f>
        <v/>
      </c>
      <c r="T37" s="8"/>
    </row>
    <row r="38" spans="1:20" ht="22" customHeight="1">
      <c r="A38" s="8"/>
      <c r="B38" s="6"/>
      <c r="C38" s="8"/>
      <c r="D38" s="9">
        <f>IF(C38="","",IFERROR(VLOOKUP(C38,Clients!$A$2:$M$51,12,FALSE),"CLIENT INCONNU"))</f>
        <v/>
      </c>
      <c r="E38" s="8"/>
      <c r="F38" s="9">
        <f>IF(E38="","",IFERROR(VLOOKUP(E38,Services!$A$2:$D$4,2,FALSE),"SERVICE INCONNU"))</f>
        <v/>
      </c>
      <c r="G38" s="8"/>
      <c r="H38" s="8"/>
      <c r="I38" s="8"/>
      <c r="J38" s="11">
        <f>IF(E38="","",IFERROR(VLOOKUP(E38,Services!$A$2:$D$4,3,FALSE),0))</f>
        <v/>
      </c>
      <c r="K38" s="9">
        <f>IF(C38="","",IFERROR(VLOOKUP(C38,Clients!$A$2:$M$51,11,FALSE),"Non"))</f>
        <v/>
      </c>
      <c r="L38" s="12">
        <f>IF(A38="","",IF(I38&lt;&gt;"Réalisé",0,IF(E38&lt;&gt;"Sexologie",0,IF(K38&lt;&gt;"Oui",0,IF(AND(B38&gt;=Parametres!$B$2,B38&lt;=Parametres!$B$3),Parametres!$B$5,0)))))</f>
        <v/>
      </c>
      <c r="M38" s="11">
        <f>IF(A38="","",IF(I38="Réalisé",ROUND(H38*J38,2),0))</f>
        <v/>
      </c>
      <c r="N38" s="11">
        <f>IF(A38="","",ROUND(M38*L38,2))</f>
        <v/>
      </c>
      <c r="O38" s="11">
        <f>IF(A38="","",ROUND(M38-N38,2))</f>
        <v/>
      </c>
      <c r="P38" s="8"/>
      <c r="Q38" s="8"/>
      <c r="R38" s="13">
        <f>IF(A38="","",IF(I38="Réalisé",H38,0))</f>
        <v/>
      </c>
      <c r="S38" s="9">
        <f>IF(A38="","",IF(COUNTIF($A$2:$A$301,A38)&gt;1,"DOUBLON RDV",IF(COUNTIF(Clients!$A$2:$A$51,C38)&lt;&gt;1,"Client à corriger",IF(COUNTIF(Services!$A$2:$A$4,E38)&lt;&gt;1,"Service à corriger",IF(OR(NOT(ISNUMBER(B38)),G38&lt;=0,H38&lt;0,COUNTIF(ListeStatuts,I38)&lt;&gt;1,COUNTIF(ListeFactures,P38)&lt;&gt;1),"Saisie à corriger",IF(AND(I38="Réalisé",OR(H38&lt;=0,B38&gt;Parametres!$B$7)),"Réalisation à vérifier",IF(AND(P38="Émise",OR(Q38="",I38&lt;&gt;"Réalisé")),"Facture à corriger",IF(AND(Q38&lt;&gt;"",COUNTIF($Q$2:$Q$301,Q38)&gt;1),"DOUBLON FACTURE",IF(AND(I38="Réalisé",ABS(G38-H38)&gt;0.001,T38=""),"Écart heures","OK")))))))))</f>
        <v/>
      </c>
      <c r="T38" s="8"/>
    </row>
    <row r="39" spans="1:20" ht="22" customHeight="1">
      <c r="A39" s="8"/>
      <c r="B39" s="6"/>
      <c r="C39" s="8"/>
      <c r="D39" s="9">
        <f>IF(C39="","",IFERROR(VLOOKUP(C39,Clients!$A$2:$M$51,12,FALSE),"CLIENT INCONNU"))</f>
        <v/>
      </c>
      <c r="E39" s="8"/>
      <c r="F39" s="9">
        <f>IF(E39="","",IFERROR(VLOOKUP(E39,Services!$A$2:$D$4,2,FALSE),"SERVICE INCONNU"))</f>
        <v/>
      </c>
      <c r="G39" s="8"/>
      <c r="H39" s="8"/>
      <c r="I39" s="8"/>
      <c r="J39" s="11">
        <f>IF(E39="","",IFERROR(VLOOKUP(E39,Services!$A$2:$D$4,3,FALSE),0))</f>
        <v/>
      </c>
      <c r="K39" s="9">
        <f>IF(C39="","",IFERROR(VLOOKUP(C39,Clients!$A$2:$M$51,11,FALSE),"Non"))</f>
        <v/>
      </c>
      <c r="L39" s="12">
        <f>IF(A39="","",IF(I39&lt;&gt;"Réalisé",0,IF(E39&lt;&gt;"Sexologie",0,IF(K39&lt;&gt;"Oui",0,IF(AND(B39&gt;=Parametres!$B$2,B39&lt;=Parametres!$B$3),Parametres!$B$5,0)))))</f>
        <v/>
      </c>
      <c r="M39" s="11">
        <f>IF(A39="","",IF(I39="Réalisé",ROUND(H39*J39,2),0))</f>
        <v/>
      </c>
      <c r="N39" s="11">
        <f>IF(A39="","",ROUND(M39*L39,2))</f>
        <v/>
      </c>
      <c r="O39" s="11">
        <f>IF(A39="","",ROUND(M39-N39,2))</f>
        <v/>
      </c>
      <c r="P39" s="8"/>
      <c r="Q39" s="8"/>
      <c r="R39" s="13">
        <f>IF(A39="","",IF(I39="Réalisé",H39,0))</f>
        <v/>
      </c>
      <c r="S39" s="9">
        <f>IF(A39="","",IF(COUNTIF($A$2:$A$301,A39)&gt;1,"DOUBLON RDV",IF(COUNTIF(Clients!$A$2:$A$51,C39)&lt;&gt;1,"Client à corriger",IF(COUNTIF(Services!$A$2:$A$4,E39)&lt;&gt;1,"Service à corriger",IF(OR(NOT(ISNUMBER(B39)),G39&lt;=0,H39&lt;0,COUNTIF(ListeStatuts,I39)&lt;&gt;1,COUNTIF(ListeFactures,P39)&lt;&gt;1),"Saisie à corriger",IF(AND(I39="Réalisé",OR(H39&lt;=0,B39&gt;Parametres!$B$7)),"Réalisation à vérifier",IF(AND(P39="Émise",OR(Q39="",I39&lt;&gt;"Réalisé")),"Facture à corriger",IF(AND(Q39&lt;&gt;"",COUNTIF($Q$2:$Q$301,Q39)&gt;1),"DOUBLON FACTURE",IF(AND(I39="Réalisé",ABS(G39-H39)&gt;0.001,T39=""),"Écart heures","OK")))))))))</f>
        <v/>
      </c>
      <c r="T39" s="8"/>
    </row>
    <row r="40" spans="1:20" ht="22" customHeight="1">
      <c r="A40" s="8"/>
      <c r="B40" s="6"/>
      <c r="C40" s="8"/>
      <c r="D40" s="9">
        <f>IF(C40="","",IFERROR(VLOOKUP(C40,Clients!$A$2:$M$51,12,FALSE),"CLIENT INCONNU"))</f>
        <v/>
      </c>
      <c r="E40" s="8"/>
      <c r="F40" s="9">
        <f>IF(E40="","",IFERROR(VLOOKUP(E40,Services!$A$2:$D$4,2,FALSE),"SERVICE INCONNU"))</f>
        <v/>
      </c>
      <c r="G40" s="8"/>
      <c r="H40" s="8"/>
      <c r="I40" s="8"/>
      <c r="J40" s="11">
        <f>IF(E40="","",IFERROR(VLOOKUP(E40,Services!$A$2:$D$4,3,FALSE),0))</f>
        <v/>
      </c>
      <c r="K40" s="9">
        <f>IF(C40="","",IFERROR(VLOOKUP(C40,Clients!$A$2:$M$51,11,FALSE),"Non"))</f>
        <v/>
      </c>
      <c r="L40" s="12">
        <f>IF(A40="","",IF(I40&lt;&gt;"Réalisé",0,IF(E40&lt;&gt;"Sexologie",0,IF(K40&lt;&gt;"Oui",0,IF(AND(B40&gt;=Parametres!$B$2,B40&lt;=Parametres!$B$3),Parametres!$B$5,0)))))</f>
        <v/>
      </c>
      <c r="M40" s="11">
        <f>IF(A40="","",IF(I40="Réalisé",ROUND(H40*J40,2),0))</f>
        <v/>
      </c>
      <c r="N40" s="11">
        <f>IF(A40="","",ROUND(M40*L40,2))</f>
        <v/>
      </c>
      <c r="O40" s="11">
        <f>IF(A40="","",ROUND(M40-N40,2))</f>
        <v/>
      </c>
      <c r="P40" s="8"/>
      <c r="Q40" s="8"/>
      <c r="R40" s="13">
        <f>IF(A40="","",IF(I40="Réalisé",H40,0))</f>
        <v/>
      </c>
      <c r="S40" s="9">
        <f>IF(A40="","",IF(COUNTIF($A$2:$A$301,A40)&gt;1,"DOUBLON RDV",IF(COUNTIF(Clients!$A$2:$A$51,C40)&lt;&gt;1,"Client à corriger",IF(COUNTIF(Services!$A$2:$A$4,E40)&lt;&gt;1,"Service à corriger",IF(OR(NOT(ISNUMBER(B40)),G40&lt;=0,H40&lt;0,COUNTIF(ListeStatuts,I40)&lt;&gt;1,COUNTIF(ListeFactures,P40)&lt;&gt;1),"Saisie à corriger",IF(AND(I40="Réalisé",OR(H40&lt;=0,B40&gt;Parametres!$B$7)),"Réalisation à vérifier",IF(AND(P40="Émise",OR(Q40="",I40&lt;&gt;"Réalisé")),"Facture à corriger",IF(AND(Q40&lt;&gt;"",COUNTIF($Q$2:$Q$301,Q40)&gt;1),"DOUBLON FACTURE",IF(AND(I40="Réalisé",ABS(G40-H40)&gt;0.001,T40=""),"Écart heures","OK")))))))))</f>
        <v/>
      </c>
      <c r="T40" s="8"/>
    </row>
    <row r="41" spans="1:20" ht="22" customHeight="1">
      <c r="A41" s="8"/>
      <c r="B41" s="6"/>
      <c r="C41" s="8"/>
      <c r="D41" s="9">
        <f>IF(C41="","",IFERROR(VLOOKUP(C41,Clients!$A$2:$M$51,12,FALSE),"CLIENT INCONNU"))</f>
        <v/>
      </c>
      <c r="E41" s="8"/>
      <c r="F41" s="9">
        <f>IF(E41="","",IFERROR(VLOOKUP(E41,Services!$A$2:$D$4,2,FALSE),"SERVICE INCONNU"))</f>
        <v/>
      </c>
      <c r="G41" s="8"/>
      <c r="H41" s="8"/>
      <c r="I41" s="8"/>
      <c r="J41" s="11">
        <f>IF(E41="","",IFERROR(VLOOKUP(E41,Services!$A$2:$D$4,3,FALSE),0))</f>
        <v/>
      </c>
      <c r="K41" s="9">
        <f>IF(C41="","",IFERROR(VLOOKUP(C41,Clients!$A$2:$M$51,11,FALSE),"Non"))</f>
        <v/>
      </c>
      <c r="L41" s="12">
        <f>IF(A41="","",IF(I41&lt;&gt;"Réalisé",0,IF(E41&lt;&gt;"Sexologie",0,IF(K41&lt;&gt;"Oui",0,IF(AND(B41&gt;=Parametres!$B$2,B41&lt;=Parametres!$B$3),Parametres!$B$5,0)))))</f>
        <v/>
      </c>
      <c r="M41" s="11">
        <f>IF(A41="","",IF(I41="Réalisé",ROUND(H41*J41,2),0))</f>
        <v/>
      </c>
      <c r="N41" s="11">
        <f>IF(A41="","",ROUND(M41*L41,2))</f>
        <v/>
      </c>
      <c r="O41" s="11">
        <f>IF(A41="","",ROUND(M41-N41,2))</f>
        <v/>
      </c>
      <c r="P41" s="8"/>
      <c r="Q41" s="8"/>
      <c r="R41" s="13">
        <f>IF(A41="","",IF(I41="Réalisé",H41,0))</f>
        <v/>
      </c>
      <c r="S41" s="9">
        <f>IF(A41="","",IF(COUNTIF($A$2:$A$301,A41)&gt;1,"DOUBLON RDV",IF(COUNTIF(Clients!$A$2:$A$51,C41)&lt;&gt;1,"Client à corriger",IF(COUNTIF(Services!$A$2:$A$4,E41)&lt;&gt;1,"Service à corriger",IF(OR(NOT(ISNUMBER(B41)),G41&lt;=0,H41&lt;0,COUNTIF(ListeStatuts,I41)&lt;&gt;1,COUNTIF(ListeFactures,P41)&lt;&gt;1),"Saisie à corriger",IF(AND(I41="Réalisé",OR(H41&lt;=0,B41&gt;Parametres!$B$7)),"Réalisation à vérifier",IF(AND(P41="Émise",OR(Q41="",I41&lt;&gt;"Réalisé")),"Facture à corriger",IF(AND(Q41&lt;&gt;"",COUNTIF($Q$2:$Q$301,Q41)&gt;1),"DOUBLON FACTURE",IF(AND(I41="Réalisé",ABS(G41-H41)&gt;0.001,T41=""),"Écart heures","OK")))))))))</f>
        <v/>
      </c>
      <c r="T41" s="8"/>
    </row>
    <row r="42" spans="1:20" ht="22" customHeight="1">
      <c r="A42" s="8"/>
      <c r="B42" s="6"/>
      <c r="C42" s="8"/>
      <c r="D42" s="9">
        <f>IF(C42="","",IFERROR(VLOOKUP(C42,Clients!$A$2:$M$51,12,FALSE),"CLIENT INCONNU"))</f>
        <v/>
      </c>
      <c r="E42" s="8"/>
      <c r="F42" s="9">
        <f>IF(E42="","",IFERROR(VLOOKUP(E42,Services!$A$2:$D$4,2,FALSE),"SERVICE INCONNU"))</f>
        <v/>
      </c>
      <c r="G42" s="8"/>
      <c r="H42" s="8"/>
      <c r="I42" s="8"/>
      <c r="J42" s="11">
        <f>IF(E42="","",IFERROR(VLOOKUP(E42,Services!$A$2:$D$4,3,FALSE),0))</f>
        <v/>
      </c>
      <c r="K42" s="9">
        <f>IF(C42="","",IFERROR(VLOOKUP(C42,Clients!$A$2:$M$51,11,FALSE),"Non"))</f>
        <v/>
      </c>
      <c r="L42" s="12">
        <f>IF(A42="","",IF(I42&lt;&gt;"Réalisé",0,IF(E42&lt;&gt;"Sexologie",0,IF(K42&lt;&gt;"Oui",0,IF(AND(B42&gt;=Parametres!$B$2,B42&lt;=Parametres!$B$3),Parametres!$B$5,0)))))</f>
        <v/>
      </c>
      <c r="M42" s="11">
        <f>IF(A42="","",IF(I42="Réalisé",ROUND(H42*J42,2),0))</f>
        <v/>
      </c>
      <c r="N42" s="11">
        <f>IF(A42="","",ROUND(M42*L42,2))</f>
        <v/>
      </c>
      <c r="O42" s="11">
        <f>IF(A42="","",ROUND(M42-N42,2))</f>
        <v/>
      </c>
      <c r="P42" s="8"/>
      <c r="Q42" s="8"/>
      <c r="R42" s="13">
        <f>IF(A42="","",IF(I42="Réalisé",H42,0))</f>
        <v/>
      </c>
      <c r="S42" s="9">
        <f>IF(A42="","",IF(COUNTIF($A$2:$A$301,A42)&gt;1,"DOUBLON RDV",IF(COUNTIF(Clients!$A$2:$A$51,C42)&lt;&gt;1,"Client à corriger",IF(COUNTIF(Services!$A$2:$A$4,E42)&lt;&gt;1,"Service à corriger",IF(OR(NOT(ISNUMBER(B42)),G42&lt;=0,H42&lt;0,COUNTIF(ListeStatuts,I42)&lt;&gt;1,COUNTIF(ListeFactures,P42)&lt;&gt;1),"Saisie à corriger",IF(AND(I42="Réalisé",OR(H42&lt;=0,B42&gt;Parametres!$B$7)),"Réalisation à vérifier",IF(AND(P42="Émise",OR(Q42="",I42&lt;&gt;"Réalisé")),"Facture à corriger",IF(AND(Q42&lt;&gt;"",COUNTIF($Q$2:$Q$301,Q42)&gt;1),"DOUBLON FACTURE",IF(AND(I42="Réalisé",ABS(G42-H42)&gt;0.001,T42=""),"Écart heures","OK")))))))))</f>
        <v/>
      </c>
      <c r="T42" s="8"/>
    </row>
    <row r="43" spans="1:20" ht="22" customHeight="1">
      <c r="A43" s="8"/>
      <c r="B43" s="6"/>
      <c r="C43" s="8"/>
      <c r="D43" s="9">
        <f>IF(C43="","",IFERROR(VLOOKUP(C43,Clients!$A$2:$M$51,12,FALSE),"CLIENT INCONNU"))</f>
        <v/>
      </c>
      <c r="E43" s="8"/>
      <c r="F43" s="9">
        <f>IF(E43="","",IFERROR(VLOOKUP(E43,Services!$A$2:$D$4,2,FALSE),"SERVICE INCONNU"))</f>
        <v/>
      </c>
      <c r="G43" s="8"/>
      <c r="H43" s="8"/>
      <c r="I43" s="8"/>
      <c r="J43" s="11">
        <f>IF(E43="","",IFERROR(VLOOKUP(E43,Services!$A$2:$D$4,3,FALSE),0))</f>
        <v/>
      </c>
      <c r="K43" s="9">
        <f>IF(C43="","",IFERROR(VLOOKUP(C43,Clients!$A$2:$M$51,11,FALSE),"Non"))</f>
        <v/>
      </c>
      <c r="L43" s="12">
        <f>IF(A43="","",IF(I43&lt;&gt;"Réalisé",0,IF(E43&lt;&gt;"Sexologie",0,IF(K43&lt;&gt;"Oui",0,IF(AND(B43&gt;=Parametres!$B$2,B43&lt;=Parametres!$B$3),Parametres!$B$5,0)))))</f>
        <v/>
      </c>
      <c r="M43" s="11">
        <f>IF(A43="","",IF(I43="Réalisé",ROUND(H43*J43,2),0))</f>
        <v/>
      </c>
      <c r="N43" s="11">
        <f>IF(A43="","",ROUND(M43*L43,2))</f>
        <v/>
      </c>
      <c r="O43" s="11">
        <f>IF(A43="","",ROUND(M43-N43,2))</f>
        <v/>
      </c>
      <c r="P43" s="8"/>
      <c r="Q43" s="8"/>
      <c r="R43" s="13">
        <f>IF(A43="","",IF(I43="Réalisé",H43,0))</f>
        <v/>
      </c>
      <c r="S43" s="9">
        <f>IF(A43="","",IF(COUNTIF($A$2:$A$301,A43)&gt;1,"DOUBLON RDV",IF(COUNTIF(Clients!$A$2:$A$51,C43)&lt;&gt;1,"Client à corriger",IF(COUNTIF(Services!$A$2:$A$4,E43)&lt;&gt;1,"Service à corriger",IF(OR(NOT(ISNUMBER(B43)),G43&lt;=0,H43&lt;0,COUNTIF(ListeStatuts,I43)&lt;&gt;1,COUNTIF(ListeFactures,P43)&lt;&gt;1),"Saisie à corriger",IF(AND(I43="Réalisé",OR(H43&lt;=0,B43&gt;Parametres!$B$7)),"Réalisation à vérifier",IF(AND(P43="Émise",OR(Q43="",I43&lt;&gt;"Réalisé")),"Facture à corriger",IF(AND(Q43&lt;&gt;"",COUNTIF($Q$2:$Q$301,Q43)&gt;1),"DOUBLON FACTURE",IF(AND(I43="Réalisé",ABS(G43-H43)&gt;0.001,T43=""),"Écart heures","OK")))))))))</f>
        <v/>
      </c>
      <c r="T43" s="8"/>
    </row>
    <row r="44" spans="1:20" ht="22" customHeight="1">
      <c r="A44" s="8"/>
      <c r="B44" s="6"/>
      <c r="C44" s="8"/>
      <c r="D44" s="9">
        <f>IF(C44="","",IFERROR(VLOOKUP(C44,Clients!$A$2:$M$51,12,FALSE),"CLIENT INCONNU"))</f>
        <v/>
      </c>
      <c r="E44" s="8"/>
      <c r="F44" s="9">
        <f>IF(E44="","",IFERROR(VLOOKUP(E44,Services!$A$2:$D$4,2,FALSE),"SERVICE INCONNU"))</f>
        <v/>
      </c>
      <c r="G44" s="8"/>
      <c r="H44" s="8"/>
      <c r="I44" s="8"/>
      <c r="J44" s="11">
        <f>IF(E44="","",IFERROR(VLOOKUP(E44,Services!$A$2:$D$4,3,FALSE),0))</f>
        <v/>
      </c>
      <c r="K44" s="9">
        <f>IF(C44="","",IFERROR(VLOOKUP(C44,Clients!$A$2:$M$51,11,FALSE),"Non"))</f>
        <v/>
      </c>
      <c r="L44" s="12">
        <f>IF(A44="","",IF(I44&lt;&gt;"Réalisé",0,IF(E44&lt;&gt;"Sexologie",0,IF(K44&lt;&gt;"Oui",0,IF(AND(B44&gt;=Parametres!$B$2,B44&lt;=Parametres!$B$3),Parametres!$B$5,0)))))</f>
        <v/>
      </c>
      <c r="M44" s="11">
        <f>IF(A44="","",IF(I44="Réalisé",ROUND(H44*J44,2),0))</f>
        <v/>
      </c>
      <c r="N44" s="11">
        <f>IF(A44="","",ROUND(M44*L44,2))</f>
        <v/>
      </c>
      <c r="O44" s="11">
        <f>IF(A44="","",ROUND(M44-N44,2))</f>
        <v/>
      </c>
      <c r="P44" s="8"/>
      <c r="Q44" s="8"/>
      <c r="R44" s="13">
        <f>IF(A44="","",IF(I44="Réalisé",H44,0))</f>
        <v/>
      </c>
      <c r="S44" s="9">
        <f>IF(A44="","",IF(COUNTIF($A$2:$A$301,A44)&gt;1,"DOUBLON RDV",IF(COUNTIF(Clients!$A$2:$A$51,C44)&lt;&gt;1,"Client à corriger",IF(COUNTIF(Services!$A$2:$A$4,E44)&lt;&gt;1,"Service à corriger",IF(OR(NOT(ISNUMBER(B44)),G44&lt;=0,H44&lt;0,COUNTIF(ListeStatuts,I44)&lt;&gt;1,COUNTIF(ListeFactures,P44)&lt;&gt;1),"Saisie à corriger",IF(AND(I44="Réalisé",OR(H44&lt;=0,B44&gt;Parametres!$B$7)),"Réalisation à vérifier",IF(AND(P44="Émise",OR(Q44="",I44&lt;&gt;"Réalisé")),"Facture à corriger",IF(AND(Q44&lt;&gt;"",COUNTIF($Q$2:$Q$301,Q44)&gt;1),"DOUBLON FACTURE",IF(AND(I44="Réalisé",ABS(G44-H44)&gt;0.001,T44=""),"Écart heures","OK")))))))))</f>
        <v/>
      </c>
      <c r="T44" s="8"/>
    </row>
    <row r="45" spans="1:20" ht="22" customHeight="1">
      <c r="A45" s="8"/>
      <c r="B45" s="6"/>
      <c r="C45" s="8"/>
      <c r="D45" s="9">
        <f>IF(C45="","",IFERROR(VLOOKUP(C45,Clients!$A$2:$M$51,12,FALSE),"CLIENT INCONNU"))</f>
        <v/>
      </c>
      <c r="E45" s="8"/>
      <c r="F45" s="9">
        <f>IF(E45="","",IFERROR(VLOOKUP(E45,Services!$A$2:$D$4,2,FALSE),"SERVICE INCONNU"))</f>
        <v/>
      </c>
      <c r="G45" s="8"/>
      <c r="H45" s="8"/>
      <c r="I45" s="8"/>
      <c r="J45" s="11">
        <f>IF(E45="","",IFERROR(VLOOKUP(E45,Services!$A$2:$D$4,3,FALSE),0))</f>
        <v/>
      </c>
      <c r="K45" s="9">
        <f>IF(C45="","",IFERROR(VLOOKUP(C45,Clients!$A$2:$M$51,11,FALSE),"Non"))</f>
        <v/>
      </c>
      <c r="L45" s="12">
        <f>IF(A45="","",IF(I45&lt;&gt;"Réalisé",0,IF(E45&lt;&gt;"Sexologie",0,IF(K45&lt;&gt;"Oui",0,IF(AND(B45&gt;=Parametres!$B$2,B45&lt;=Parametres!$B$3),Parametres!$B$5,0)))))</f>
        <v/>
      </c>
      <c r="M45" s="11">
        <f>IF(A45="","",IF(I45="Réalisé",ROUND(H45*J45,2),0))</f>
        <v/>
      </c>
      <c r="N45" s="11">
        <f>IF(A45="","",ROUND(M45*L45,2))</f>
        <v/>
      </c>
      <c r="O45" s="11">
        <f>IF(A45="","",ROUND(M45-N45,2))</f>
        <v/>
      </c>
      <c r="P45" s="8"/>
      <c r="Q45" s="8"/>
      <c r="R45" s="13">
        <f>IF(A45="","",IF(I45="Réalisé",H45,0))</f>
        <v/>
      </c>
      <c r="S45" s="9">
        <f>IF(A45="","",IF(COUNTIF($A$2:$A$301,A45)&gt;1,"DOUBLON RDV",IF(COUNTIF(Clients!$A$2:$A$51,C45)&lt;&gt;1,"Client à corriger",IF(COUNTIF(Services!$A$2:$A$4,E45)&lt;&gt;1,"Service à corriger",IF(OR(NOT(ISNUMBER(B45)),G45&lt;=0,H45&lt;0,COUNTIF(ListeStatuts,I45)&lt;&gt;1,COUNTIF(ListeFactures,P45)&lt;&gt;1),"Saisie à corriger",IF(AND(I45="Réalisé",OR(H45&lt;=0,B45&gt;Parametres!$B$7)),"Réalisation à vérifier",IF(AND(P45="Émise",OR(Q45="",I45&lt;&gt;"Réalisé")),"Facture à corriger",IF(AND(Q45&lt;&gt;"",COUNTIF($Q$2:$Q$301,Q45)&gt;1),"DOUBLON FACTURE",IF(AND(I45="Réalisé",ABS(G45-H45)&gt;0.001,T45=""),"Écart heures","OK")))))))))</f>
        <v/>
      </c>
      <c r="T45" s="8"/>
    </row>
    <row r="46" spans="1:20" ht="22" customHeight="1">
      <c r="A46" s="8"/>
      <c r="B46" s="6"/>
      <c r="C46" s="8"/>
      <c r="D46" s="9">
        <f>IF(C46="","",IFERROR(VLOOKUP(C46,Clients!$A$2:$M$51,12,FALSE),"CLIENT INCONNU"))</f>
        <v/>
      </c>
      <c r="E46" s="8"/>
      <c r="F46" s="9">
        <f>IF(E46="","",IFERROR(VLOOKUP(E46,Services!$A$2:$D$4,2,FALSE),"SERVICE INCONNU"))</f>
        <v/>
      </c>
      <c r="G46" s="8"/>
      <c r="H46" s="8"/>
      <c r="I46" s="8"/>
      <c r="J46" s="11">
        <f>IF(E46="","",IFERROR(VLOOKUP(E46,Services!$A$2:$D$4,3,FALSE),0))</f>
        <v/>
      </c>
      <c r="K46" s="9">
        <f>IF(C46="","",IFERROR(VLOOKUP(C46,Clients!$A$2:$M$51,11,FALSE),"Non"))</f>
        <v/>
      </c>
      <c r="L46" s="12">
        <f>IF(A46="","",IF(I46&lt;&gt;"Réalisé",0,IF(E46&lt;&gt;"Sexologie",0,IF(K46&lt;&gt;"Oui",0,IF(AND(B46&gt;=Parametres!$B$2,B46&lt;=Parametres!$B$3),Parametres!$B$5,0)))))</f>
        <v/>
      </c>
      <c r="M46" s="11">
        <f>IF(A46="","",IF(I46="Réalisé",ROUND(H46*J46,2),0))</f>
        <v/>
      </c>
      <c r="N46" s="11">
        <f>IF(A46="","",ROUND(M46*L46,2))</f>
        <v/>
      </c>
      <c r="O46" s="11">
        <f>IF(A46="","",ROUND(M46-N46,2))</f>
        <v/>
      </c>
      <c r="P46" s="8"/>
      <c r="Q46" s="8"/>
      <c r="R46" s="13">
        <f>IF(A46="","",IF(I46="Réalisé",H46,0))</f>
        <v/>
      </c>
      <c r="S46" s="9">
        <f>IF(A46="","",IF(COUNTIF($A$2:$A$301,A46)&gt;1,"DOUBLON RDV",IF(COUNTIF(Clients!$A$2:$A$51,C46)&lt;&gt;1,"Client à corriger",IF(COUNTIF(Services!$A$2:$A$4,E46)&lt;&gt;1,"Service à corriger",IF(OR(NOT(ISNUMBER(B46)),G46&lt;=0,H46&lt;0,COUNTIF(ListeStatuts,I46)&lt;&gt;1,COUNTIF(ListeFactures,P46)&lt;&gt;1),"Saisie à corriger",IF(AND(I46="Réalisé",OR(H46&lt;=0,B46&gt;Parametres!$B$7)),"Réalisation à vérifier",IF(AND(P46="Émise",OR(Q46="",I46&lt;&gt;"Réalisé")),"Facture à corriger",IF(AND(Q46&lt;&gt;"",COUNTIF($Q$2:$Q$301,Q46)&gt;1),"DOUBLON FACTURE",IF(AND(I46="Réalisé",ABS(G46-H46)&gt;0.001,T46=""),"Écart heures","OK")))))))))</f>
        <v/>
      </c>
      <c r="T46" s="8"/>
    </row>
    <row r="47" spans="1:20" ht="22" customHeight="1">
      <c r="A47" s="8"/>
      <c r="B47" s="6"/>
      <c r="C47" s="8"/>
      <c r="D47" s="9">
        <f>IF(C47="","",IFERROR(VLOOKUP(C47,Clients!$A$2:$M$51,12,FALSE),"CLIENT INCONNU"))</f>
        <v/>
      </c>
      <c r="E47" s="8"/>
      <c r="F47" s="9">
        <f>IF(E47="","",IFERROR(VLOOKUP(E47,Services!$A$2:$D$4,2,FALSE),"SERVICE INCONNU"))</f>
        <v/>
      </c>
      <c r="G47" s="8"/>
      <c r="H47" s="8"/>
      <c r="I47" s="8"/>
      <c r="J47" s="11">
        <f>IF(E47="","",IFERROR(VLOOKUP(E47,Services!$A$2:$D$4,3,FALSE),0))</f>
        <v/>
      </c>
      <c r="K47" s="9">
        <f>IF(C47="","",IFERROR(VLOOKUP(C47,Clients!$A$2:$M$51,11,FALSE),"Non"))</f>
        <v/>
      </c>
      <c r="L47" s="12">
        <f>IF(A47="","",IF(I47&lt;&gt;"Réalisé",0,IF(E47&lt;&gt;"Sexologie",0,IF(K47&lt;&gt;"Oui",0,IF(AND(B47&gt;=Parametres!$B$2,B47&lt;=Parametres!$B$3),Parametres!$B$5,0)))))</f>
        <v/>
      </c>
      <c r="M47" s="11">
        <f>IF(A47="","",IF(I47="Réalisé",ROUND(H47*J47,2),0))</f>
        <v/>
      </c>
      <c r="N47" s="11">
        <f>IF(A47="","",ROUND(M47*L47,2))</f>
        <v/>
      </c>
      <c r="O47" s="11">
        <f>IF(A47="","",ROUND(M47-N47,2))</f>
        <v/>
      </c>
      <c r="P47" s="8"/>
      <c r="Q47" s="8"/>
      <c r="R47" s="13">
        <f>IF(A47="","",IF(I47="Réalisé",H47,0))</f>
        <v/>
      </c>
      <c r="S47" s="9">
        <f>IF(A47="","",IF(COUNTIF($A$2:$A$301,A47)&gt;1,"DOUBLON RDV",IF(COUNTIF(Clients!$A$2:$A$51,C47)&lt;&gt;1,"Client à corriger",IF(COUNTIF(Services!$A$2:$A$4,E47)&lt;&gt;1,"Service à corriger",IF(OR(NOT(ISNUMBER(B47)),G47&lt;=0,H47&lt;0,COUNTIF(ListeStatuts,I47)&lt;&gt;1,COUNTIF(ListeFactures,P47)&lt;&gt;1),"Saisie à corriger",IF(AND(I47="Réalisé",OR(H47&lt;=0,B47&gt;Parametres!$B$7)),"Réalisation à vérifier",IF(AND(P47="Émise",OR(Q47="",I47&lt;&gt;"Réalisé")),"Facture à corriger",IF(AND(Q47&lt;&gt;"",COUNTIF($Q$2:$Q$301,Q47)&gt;1),"DOUBLON FACTURE",IF(AND(I47="Réalisé",ABS(G47-H47)&gt;0.001,T47=""),"Écart heures","OK")))))))))</f>
        <v/>
      </c>
      <c r="T47" s="8"/>
    </row>
    <row r="48" spans="1:20" ht="22" customHeight="1">
      <c r="A48" s="8"/>
      <c r="B48" s="6"/>
      <c r="C48" s="8"/>
      <c r="D48" s="9">
        <f>IF(C48="","",IFERROR(VLOOKUP(C48,Clients!$A$2:$M$51,12,FALSE),"CLIENT INCONNU"))</f>
        <v/>
      </c>
      <c r="E48" s="8"/>
      <c r="F48" s="9">
        <f>IF(E48="","",IFERROR(VLOOKUP(E48,Services!$A$2:$D$4,2,FALSE),"SERVICE INCONNU"))</f>
        <v/>
      </c>
      <c r="G48" s="8"/>
      <c r="H48" s="8"/>
      <c r="I48" s="8"/>
      <c r="J48" s="11">
        <f>IF(E48="","",IFERROR(VLOOKUP(E48,Services!$A$2:$D$4,3,FALSE),0))</f>
        <v/>
      </c>
      <c r="K48" s="9">
        <f>IF(C48="","",IFERROR(VLOOKUP(C48,Clients!$A$2:$M$51,11,FALSE),"Non"))</f>
        <v/>
      </c>
      <c r="L48" s="12">
        <f>IF(A48="","",IF(I48&lt;&gt;"Réalisé",0,IF(E48&lt;&gt;"Sexologie",0,IF(K48&lt;&gt;"Oui",0,IF(AND(B48&gt;=Parametres!$B$2,B48&lt;=Parametres!$B$3),Parametres!$B$5,0)))))</f>
        <v/>
      </c>
      <c r="M48" s="11">
        <f>IF(A48="","",IF(I48="Réalisé",ROUND(H48*J48,2),0))</f>
        <v/>
      </c>
      <c r="N48" s="11">
        <f>IF(A48="","",ROUND(M48*L48,2))</f>
        <v/>
      </c>
      <c r="O48" s="11">
        <f>IF(A48="","",ROUND(M48-N48,2))</f>
        <v/>
      </c>
      <c r="P48" s="8"/>
      <c r="Q48" s="8"/>
      <c r="R48" s="13">
        <f>IF(A48="","",IF(I48="Réalisé",H48,0))</f>
        <v/>
      </c>
      <c r="S48" s="9">
        <f>IF(A48="","",IF(COUNTIF($A$2:$A$301,A48)&gt;1,"DOUBLON RDV",IF(COUNTIF(Clients!$A$2:$A$51,C48)&lt;&gt;1,"Client à corriger",IF(COUNTIF(Services!$A$2:$A$4,E48)&lt;&gt;1,"Service à corriger",IF(OR(NOT(ISNUMBER(B48)),G48&lt;=0,H48&lt;0,COUNTIF(ListeStatuts,I48)&lt;&gt;1,COUNTIF(ListeFactures,P48)&lt;&gt;1),"Saisie à corriger",IF(AND(I48="Réalisé",OR(H48&lt;=0,B48&gt;Parametres!$B$7)),"Réalisation à vérifier",IF(AND(P48="Émise",OR(Q48="",I48&lt;&gt;"Réalisé")),"Facture à corriger",IF(AND(Q48&lt;&gt;"",COUNTIF($Q$2:$Q$301,Q48)&gt;1),"DOUBLON FACTURE",IF(AND(I48="Réalisé",ABS(G48-H48)&gt;0.001,T48=""),"Écart heures","OK")))))))))</f>
        <v/>
      </c>
      <c r="T48" s="8"/>
    </row>
    <row r="49" spans="1:20" ht="22" customHeight="1">
      <c r="A49" s="8"/>
      <c r="B49" s="6"/>
      <c r="C49" s="8"/>
      <c r="D49" s="9">
        <f>IF(C49="","",IFERROR(VLOOKUP(C49,Clients!$A$2:$M$51,12,FALSE),"CLIENT INCONNU"))</f>
        <v/>
      </c>
      <c r="E49" s="8"/>
      <c r="F49" s="9">
        <f>IF(E49="","",IFERROR(VLOOKUP(E49,Services!$A$2:$D$4,2,FALSE),"SERVICE INCONNU"))</f>
        <v/>
      </c>
      <c r="G49" s="8"/>
      <c r="H49" s="8"/>
      <c r="I49" s="8"/>
      <c r="J49" s="11">
        <f>IF(E49="","",IFERROR(VLOOKUP(E49,Services!$A$2:$D$4,3,FALSE),0))</f>
        <v/>
      </c>
      <c r="K49" s="9">
        <f>IF(C49="","",IFERROR(VLOOKUP(C49,Clients!$A$2:$M$51,11,FALSE),"Non"))</f>
        <v/>
      </c>
      <c r="L49" s="12">
        <f>IF(A49="","",IF(I49&lt;&gt;"Réalisé",0,IF(E49&lt;&gt;"Sexologie",0,IF(K49&lt;&gt;"Oui",0,IF(AND(B49&gt;=Parametres!$B$2,B49&lt;=Parametres!$B$3),Parametres!$B$5,0)))))</f>
        <v/>
      </c>
      <c r="M49" s="11">
        <f>IF(A49="","",IF(I49="Réalisé",ROUND(H49*J49,2),0))</f>
        <v/>
      </c>
      <c r="N49" s="11">
        <f>IF(A49="","",ROUND(M49*L49,2))</f>
        <v/>
      </c>
      <c r="O49" s="11">
        <f>IF(A49="","",ROUND(M49-N49,2))</f>
        <v/>
      </c>
      <c r="P49" s="8"/>
      <c r="Q49" s="8"/>
      <c r="R49" s="13">
        <f>IF(A49="","",IF(I49="Réalisé",H49,0))</f>
        <v/>
      </c>
      <c r="S49" s="9">
        <f>IF(A49="","",IF(COUNTIF($A$2:$A$301,A49)&gt;1,"DOUBLON RDV",IF(COUNTIF(Clients!$A$2:$A$51,C49)&lt;&gt;1,"Client à corriger",IF(COUNTIF(Services!$A$2:$A$4,E49)&lt;&gt;1,"Service à corriger",IF(OR(NOT(ISNUMBER(B49)),G49&lt;=0,H49&lt;0,COUNTIF(ListeStatuts,I49)&lt;&gt;1,COUNTIF(ListeFactures,P49)&lt;&gt;1),"Saisie à corriger",IF(AND(I49="Réalisé",OR(H49&lt;=0,B49&gt;Parametres!$B$7)),"Réalisation à vérifier",IF(AND(P49="Émise",OR(Q49="",I49&lt;&gt;"Réalisé")),"Facture à corriger",IF(AND(Q49&lt;&gt;"",COUNTIF($Q$2:$Q$301,Q49)&gt;1),"DOUBLON FACTURE",IF(AND(I49="Réalisé",ABS(G49-H49)&gt;0.001,T49=""),"Écart heures","OK")))))))))</f>
        <v/>
      </c>
      <c r="T49" s="8"/>
    </row>
    <row r="50" spans="1:20" ht="22" customHeight="1">
      <c r="A50" s="8"/>
      <c r="B50" s="6"/>
      <c r="C50" s="8"/>
      <c r="D50" s="9">
        <f>IF(C50="","",IFERROR(VLOOKUP(C50,Clients!$A$2:$M$51,12,FALSE),"CLIENT INCONNU"))</f>
        <v/>
      </c>
      <c r="E50" s="8"/>
      <c r="F50" s="9">
        <f>IF(E50="","",IFERROR(VLOOKUP(E50,Services!$A$2:$D$4,2,FALSE),"SERVICE INCONNU"))</f>
        <v/>
      </c>
      <c r="G50" s="8"/>
      <c r="H50" s="8"/>
      <c r="I50" s="8"/>
      <c r="J50" s="11">
        <f>IF(E50="","",IFERROR(VLOOKUP(E50,Services!$A$2:$D$4,3,FALSE),0))</f>
        <v/>
      </c>
      <c r="K50" s="9">
        <f>IF(C50="","",IFERROR(VLOOKUP(C50,Clients!$A$2:$M$51,11,FALSE),"Non"))</f>
        <v/>
      </c>
      <c r="L50" s="12">
        <f>IF(A50="","",IF(I50&lt;&gt;"Réalisé",0,IF(E50&lt;&gt;"Sexologie",0,IF(K50&lt;&gt;"Oui",0,IF(AND(B50&gt;=Parametres!$B$2,B50&lt;=Parametres!$B$3),Parametres!$B$5,0)))))</f>
        <v/>
      </c>
      <c r="M50" s="11">
        <f>IF(A50="","",IF(I50="Réalisé",ROUND(H50*J50,2),0))</f>
        <v/>
      </c>
      <c r="N50" s="11">
        <f>IF(A50="","",ROUND(M50*L50,2))</f>
        <v/>
      </c>
      <c r="O50" s="11">
        <f>IF(A50="","",ROUND(M50-N50,2))</f>
        <v/>
      </c>
      <c r="P50" s="8"/>
      <c r="Q50" s="8"/>
      <c r="R50" s="13">
        <f>IF(A50="","",IF(I50="Réalisé",H50,0))</f>
        <v/>
      </c>
      <c r="S50" s="9">
        <f>IF(A50="","",IF(COUNTIF($A$2:$A$301,A50)&gt;1,"DOUBLON RDV",IF(COUNTIF(Clients!$A$2:$A$51,C50)&lt;&gt;1,"Client à corriger",IF(COUNTIF(Services!$A$2:$A$4,E50)&lt;&gt;1,"Service à corriger",IF(OR(NOT(ISNUMBER(B50)),G50&lt;=0,H50&lt;0,COUNTIF(ListeStatuts,I50)&lt;&gt;1,COUNTIF(ListeFactures,P50)&lt;&gt;1),"Saisie à corriger",IF(AND(I50="Réalisé",OR(H50&lt;=0,B50&gt;Parametres!$B$7)),"Réalisation à vérifier",IF(AND(P50="Émise",OR(Q50="",I50&lt;&gt;"Réalisé")),"Facture à corriger",IF(AND(Q50&lt;&gt;"",COUNTIF($Q$2:$Q$301,Q50)&gt;1),"DOUBLON FACTURE",IF(AND(I50="Réalisé",ABS(G50-H50)&gt;0.001,T50=""),"Écart heures","OK")))))))))</f>
        <v/>
      </c>
      <c r="T50" s="8"/>
    </row>
    <row r="51" spans="1:20" ht="22" customHeight="1">
      <c r="A51" s="8"/>
      <c r="B51" s="6"/>
      <c r="C51" s="8"/>
      <c r="D51" s="9">
        <f>IF(C51="","",IFERROR(VLOOKUP(C51,Clients!$A$2:$M$51,12,FALSE),"CLIENT INCONNU"))</f>
        <v/>
      </c>
      <c r="E51" s="8"/>
      <c r="F51" s="9">
        <f>IF(E51="","",IFERROR(VLOOKUP(E51,Services!$A$2:$D$4,2,FALSE),"SERVICE INCONNU"))</f>
        <v/>
      </c>
      <c r="G51" s="8"/>
      <c r="H51" s="8"/>
      <c r="I51" s="8"/>
      <c r="J51" s="11">
        <f>IF(E51="","",IFERROR(VLOOKUP(E51,Services!$A$2:$D$4,3,FALSE),0))</f>
        <v/>
      </c>
      <c r="K51" s="9">
        <f>IF(C51="","",IFERROR(VLOOKUP(C51,Clients!$A$2:$M$51,11,FALSE),"Non"))</f>
        <v/>
      </c>
      <c r="L51" s="12">
        <f>IF(A51="","",IF(I51&lt;&gt;"Réalisé",0,IF(E51&lt;&gt;"Sexologie",0,IF(K51&lt;&gt;"Oui",0,IF(AND(B51&gt;=Parametres!$B$2,B51&lt;=Parametres!$B$3),Parametres!$B$5,0)))))</f>
        <v/>
      </c>
      <c r="M51" s="11">
        <f>IF(A51="","",IF(I51="Réalisé",ROUND(H51*J51,2),0))</f>
        <v/>
      </c>
      <c r="N51" s="11">
        <f>IF(A51="","",ROUND(M51*L51,2))</f>
        <v/>
      </c>
      <c r="O51" s="11">
        <f>IF(A51="","",ROUND(M51-N51,2))</f>
        <v/>
      </c>
      <c r="P51" s="8"/>
      <c r="Q51" s="8"/>
      <c r="R51" s="13">
        <f>IF(A51="","",IF(I51="Réalisé",H51,0))</f>
        <v/>
      </c>
      <c r="S51" s="9">
        <f>IF(A51="","",IF(COUNTIF($A$2:$A$301,A51)&gt;1,"DOUBLON RDV",IF(COUNTIF(Clients!$A$2:$A$51,C51)&lt;&gt;1,"Client à corriger",IF(COUNTIF(Services!$A$2:$A$4,E51)&lt;&gt;1,"Service à corriger",IF(OR(NOT(ISNUMBER(B51)),G51&lt;=0,H51&lt;0,COUNTIF(ListeStatuts,I51)&lt;&gt;1,COUNTIF(ListeFactures,P51)&lt;&gt;1),"Saisie à corriger",IF(AND(I51="Réalisé",OR(H51&lt;=0,B51&gt;Parametres!$B$7)),"Réalisation à vérifier",IF(AND(P51="Émise",OR(Q51="",I51&lt;&gt;"Réalisé")),"Facture à corriger",IF(AND(Q51&lt;&gt;"",COUNTIF($Q$2:$Q$301,Q51)&gt;1),"DOUBLON FACTURE",IF(AND(I51="Réalisé",ABS(G51-H51)&gt;0.001,T51=""),"Écart heures","OK")))))))))</f>
        <v/>
      </c>
      <c r="T51" s="8"/>
    </row>
    <row r="52" spans="1:20" ht="22" customHeight="1">
      <c r="A52" s="8"/>
      <c r="B52" s="6"/>
      <c r="C52" s="8"/>
      <c r="D52" s="9">
        <f>IF(C52="","",IFERROR(VLOOKUP(C52,Clients!$A$2:$M$51,12,FALSE),"CLIENT INCONNU"))</f>
        <v/>
      </c>
      <c r="E52" s="8"/>
      <c r="F52" s="9">
        <f>IF(E52="","",IFERROR(VLOOKUP(E52,Services!$A$2:$D$4,2,FALSE),"SERVICE INCONNU"))</f>
        <v/>
      </c>
      <c r="G52" s="8"/>
      <c r="H52" s="8"/>
      <c r="I52" s="8"/>
      <c r="J52" s="11">
        <f>IF(E52="","",IFERROR(VLOOKUP(E52,Services!$A$2:$D$4,3,FALSE),0))</f>
        <v/>
      </c>
      <c r="K52" s="9">
        <f>IF(C52="","",IFERROR(VLOOKUP(C52,Clients!$A$2:$M$51,11,FALSE),"Non"))</f>
        <v/>
      </c>
      <c r="L52" s="12">
        <f>IF(A52="","",IF(I52&lt;&gt;"Réalisé",0,IF(E52&lt;&gt;"Sexologie",0,IF(K52&lt;&gt;"Oui",0,IF(AND(B52&gt;=Parametres!$B$2,B52&lt;=Parametres!$B$3),Parametres!$B$5,0)))))</f>
        <v/>
      </c>
      <c r="M52" s="11">
        <f>IF(A52="","",IF(I52="Réalisé",ROUND(H52*J52,2),0))</f>
        <v/>
      </c>
      <c r="N52" s="11">
        <f>IF(A52="","",ROUND(M52*L52,2))</f>
        <v/>
      </c>
      <c r="O52" s="11">
        <f>IF(A52="","",ROUND(M52-N52,2))</f>
        <v/>
      </c>
      <c r="P52" s="8"/>
      <c r="Q52" s="8"/>
      <c r="R52" s="13">
        <f>IF(A52="","",IF(I52="Réalisé",H52,0))</f>
        <v/>
      </c>
      <c r="S52" s="9">
        <f>IF(A52="","",IF(COUNTIF($A$2:$A$301,A52)&gt;1,"DOUBLON RDV",IF(COUNTIF(Clients!$A$2:$A$51,C52)&lt;&gt;1,"Client à corriger",IF(COUNTIF(Services!$A$2:$A$4,E52)&lt;&gt;1,"Service à corriger",IF(OR(NOT(ISNUMBER(B52)),G52&lt;=0,H52&lt;0,COUNTIF(ListeStatuts,I52)&lt;&gt;1,COUNTIF(ListeFactures,P52)&lt;&gt;1),"Saisie à corriger",IF(AND(I52="Réalisé",OR(H52&lt;=0,B52&gt;Parametres!$B$7)),"Réalisation à vérifier",IF(AND(P52="Émise",OR(Q52="",I52&lt;&gt;"Réalisé")),"Facture à corriger",IF(AND(Q52&lt;&gt;"",COUNTIF($Q$2:$Q$301,Q52)&gt;1),"DOUBLON FACTURE",IF(AND(I52="Réalisé",ABS(G52-H52)&gt;0.001,T52=""),"Écart heures","OK")))))))))</f>
        <v/>
      </c>
      <c r="T52" s="8"/>
    </row>
    <row r="53" spans="1:20" ht="22" customHeight="1">
      <c r="A53" s="8"/>
      <c r="B53" s="6"/>
      <c r="C53" s="8"/>
      <c r="D53" s="9">
        <f>IF(C53="","",IFERROR(VLOOKUP(C53,Clients!$A$2:$M$51,12,FALSE),"CLIENT INCONNU"))</f>
        <v/>
      </c>
      <c r="E53" s="8"/>
      <c r="F53" s="9">
        <f>IF(E53="","",IFERROR(VLOOKUP(E53,Services!$A$2:$D$4,2,FALSE),"SERVICE INCONNU"))</f>
        <v/>
      </c>
      <c r="G53" s="8"/>
      <c r="H53" s="8"/>
      <c r="I53" s="8"/>
      <c r="J53" s="11">
        <f>IF(E53="","",IFERROR(VLOOKUP(E53,Services!$A$2:$D$4,3,FALSE),0))</f>
        <v/>
      </c>
      <c r="K53" s="9">
        <f>IF(C53="","",IFERROR(VLOOKUP(C53,Clients!$A$2:$M$51,11,FALSE),"Non"))</f>
        <v/>
      </c>
      <c r="L53" s="12">
        <f>IF(A53="","",IF(I53&lt;&gt;"Réalisé",0,IF(E53&lt;&gt;"Sexologie",0,IF(K53&lt;&gt;"Oui",0,IF(AND(B53&gt;=Parametres!$B$2,B53&lt;=Parametres!$B$3),Parametres!$B$5,0)))))</f>
        <v/>
      </c>
      <c r="M53" s="11">
        <f>IF(A53="","",IF(I53="Réalisé",ROUND(H53*J53,2),0))</f>
        <v/>
      </c>
      <c r="N53" s="11">
        <f>IF(A53="","",ROUND(M53*L53,2))</f>
        <v/>
      </c>
      <c r="O53" s="11">
        <f>IF(A53="","",ROUND(M53-N53,2))</f>
        <v/>
      </c>
      <c r="P53" s="8"/>
      <c r="Q53" s="8"/>
      <c r="R53" s="13">
        <f>IF(A53="","",IF(I53="Réalisé",H53,0))</f>
        <v/>
      </c>
      <c r="S53" s="9">
        <f>IF(A53="","",IF(COUNTIF($A$2:$A$301,A53)&gt;1,"DOUBLON RDV",IF(COUNTIF(Clients!$A$2:$A$51,C53)&lt;&gt;1,"Client à corriger",IF(COUNTIF(Services!$A$2:$A$4,E53)&lt;&gt;1,"Service à corriger",IF(OR(NOT(ISNUMBER(B53)),G53&lt;=0,H53&lt;0,COUNTIF(ListeStatuts,I53)&lt;&gt;1,COUNTIF(ListeFactures,P53)&lt;&gt;1),"Saisie à corriger",IF(AND(I53="Réalisé",OR(H53&lt;=0,B53&gt;Parametres!$B$7)),"Réalisation à vérifier",IF(AND(P53="Émise",OR(Q53="",I53&lt;&gt;"Réalisé")),"Facture à corriger",IF(AND(Q53&lt;&gt;"",COUNTIF($Q$2:$Q$301,Q53)&gt;1),"DOUBLON FACTURE",IF(AND(I53="Réalisé",ABS(G53-H53)&gt;0.001,T53=""),"Écart heures","OK")))))))))</f>
        <v/>
      </c>
      <c r="T53" s="8"/>
    </row>
    <row r="54" spans="1:20" ht="22" customHeight="1">
      <c r="A54" s="8"/>
      <c r="B54" s="6"/>
      <c r="C54" s="8"/>
      <c r="D54" s="9">
        <f>IF(C54="","",IFERROR(VLOOKUP(C54,Clients!$A$2:$M$51,12,FALSE),"CLIENT INCONNU"))</f>
        <v/>
      </c>
      <c r="E54" s="8"/>
      <c r="F54" s="9">
        <f>IF(E54="","",IFERROR(VLOOKUP(E54,Services!$A$2:$D$4,2,FALSE),"SERVICE INCONNU"))</f>
        <v/>
      </c>
      <c r="G54" s="8"/>
      <c r="H54" s="8"/>
      <c r="I54" s="8"/>
      <c r="J54" s="11">
        <f>IF(E54="","",IFERROR(VLOOKUP(E54,Services!$A$2:$D$4,3,FALSE),0))</f>
        <v/>
      </c>
      <c r="K54" s="9">
        <f>IF(C54="","",IFERROR(VLOOKUP(C54,Clients!$A$2:$M$51,11,FALSE),"Non"))</f>
        <v/>
      </c>
      <c r="L54" s="12">
        <f>IF(A54="","",IF(I54&lt;&gt;"Réalisé",0,IF(E54&lt;&gt;"Sexologie",0,IF(K54&lt;&gt;"Oui",0,IF(AND(B54&gt;=Parametres!$B$2,B54&lt;=Parametres!$B$3),Parametres!$B$5,0)))))</f>
        <v/>
      </c>
      <c r="M54" s="11">
        <f>IF(A54="","",IF(I54="Réalisé",ROUND(H54*J54,2),0))</f>
        <v/>
      </c>
      <c r="N54" s="11">
        <f>IF(A54="","",ROUND(M54*L54,2))</f>
        <v/>
      </c>
      <c r="O54" s="11">
        <f>IF(A54="","",ROUND(M54-N54,2))</f>
        <v/>
      </c>
      <c r="P54" s="8"/>
      <c r="Q54" s="8"/>
      <c r="R54" s="13">
        <f>IF(A54="","",IF(I54="Réalisé",H54,0))</f>
        <v/>
      </c>
      <c r="S54" s="9">
        <f>IF(A54="","",IF(COUNTIF($A$2:$A$301,A54)&gt;1,"DOUBLON RDV",IF(COUNTIF(Clients!$A$2:$A$51,C54)&lt;&gt;1,"Client à corriger",IF(COUNTIF(Services!$A$2:$A$4,E54)&lt;&gt;1,"Service à corriger",IF(OR(NOT(ISNUMBER(B54)),G54&lt;=0,H54&lt;0,COUNTIF(ListeStatuts,I54)&lt;&gt;1,COUNTIF(ListeFactures,P54)&lt;&gt;1),"Saisie à corriger",IF(AND(I54="Réalisé",OR(H54&lt;=0,B54&gt;Parametres!$B$7)),"Réalisation à vérifier",IF(AND(P54="Émise",OR(Q54="",I54&lt;&gt;"Réalisé")),"Facture à corriger",IF(AND(Q54&lt;&gt;"",COUNTIF($Q$2:$Q$301,Q54)&gt;1),"DOUBLON FACTURE",IF(AND(I54="Réalisé",ABS(G54-H54)&gt;0.001,T54=""),"Écart heures","OK")))))))))</f>
        <v/>
      </c>
      <c r="T54" s="8"/>
    </row>
    <row r="55" spans="1:20" ht="22" customHeight="1">
      <c r="A55" s="8"/>
      <c r="B55" s="6"/>
      <c r="C55" s="8"/>
      <c r="D55" s="9">
        <f>IF(C55="","",IFERROR(VLOOKUP(C55,Clients!$A$2:$M$51,12,FALSE),"CLIENT INCONNU"))</f>
        <v/>
      </c>
      <c r="E55" s="8"/>
      <c r="F55" s="9">
        <f>IF(E55="","",IFERROR(VLOOKUP(E55,Services!$A$2:$D$4,2,FALSE),"SERVICE INCONNU"))</f>
        <v/>
      </c>
      <c r="G55" s="8"/>
      <c r="H55" s="8"/>
      <c r="I55" s="8"/>
      <c r="J55" s="11">
        <f>IF(E55="","",IFERROR(VLOOKUP(E55,Services!$A$2:$D$4,3,FALSE),0))</f>
        <v/>
      </c>
      <c r="K55" s="9">
        <f>IF(C55="","",IFERROR(VLOOKUP(C55,Clients!$A$2:$M$51,11,FALSE),"Non"))</f>
        <v/>
      </c>
      <c r="L55" s="12">
        <f>IF(A55="","",IF(I55&lt;&gt;"Réalisé",0,IF(E55&lt;&gt;"Sexologie",0,IF(K55&lt;&gt;"Oui",0,IF(AND(B55&gt;=Parametres!$B$2,B55&lt;=Parametres!$B$3),Parametres!$B$5,0)))))</f>
        <v/>
      </c>
      <c r="M55" s="11">
        <f>IF(A55="","",IF(I55="Réalisé",ROUND(H55*J55,2),0))</f>
        <v/>
      </c>
      <c r="N55" s="11">
        <f>IF(A55="","",ROUND(M55*L55,2))</f>
        <v/>
      </c>
      <c r="O55" s="11">
        <f>IF(A55="","",ROUND(M55-N55,2))</f>
        <v/>
      </c>
      <c r="P55" s="8"/>
      <c r="Q55" s="8"/>
      <c r="R55" s="13">
        <f>IF(A55="","",IF(I55="Réalisé",H55,0))</f>
        <v/>
      </c>
      <c r="S55" s="9">
        <f>IF(A55="","",IF(COUNTIF($A$2:$A$301,A55)&gt;1,"DOUBLON RDV",IF(COUNTIF(Clients!$A$2:$A$51,C55)&lt;&gt;1,"Client à corriger",IF(COUNTIF(Services!$A$2:$A$4,E55)&lt;&gt;1,"Service à corriger",IF(OR(NOT(ISNUMBER(B55)),G55&lt;=0,H55&lt;0,COUNTIF(ListeStatuts,I55)&lt;&gt;1,COUNTIF(ListeFactures,P55)&lt;&gt;1),"Saisie à corriger",IF(AND(I55="Réalisé",OR(H55&lt;=0,B55&gt;Parametres!$B$7)),"Réalisation à vérifier",IF(AND(P55="Émise",OR(Q55="",I55&lt;&gt;"Réalisé")),"Facture à corriger",IF(AND(Q55&lt;&gt;"",COUNTIF($Q$2:$Q$301,Q55)&gt;1),"DOUBLON FACTURE",IF(AND(I55="Réalisé",ABS(G55-H55)&gt;0.001,T55=""),"Écart heures","OK")))))))))</f>
        <v/>
      </c>
      <c r="T55" s="8"/>
    </row>
    <row r="56" spans="1:20" ht="22" customHeight="1">
      <c r="A56" s="8"/>
      <c r="B56" s="6"/>
      <c r="C56" s="8"/>
      <c r="D56" s="9">
        <f>IF(C56="","",IFERROR(VLOOKUP(C56,Clients!$A$2:$M$51,12,FALSE),"CLIENT INCONNU"))</f>
        <v/>
      </c>
      <c r="E56" s="8"/>
      <c r="F56" s="9">
        <f>IF(E56="","",IFERROR(VLOOKUP(E56,Services!$A$2:$D$4,2,FALSE),"SERVICE INCONNU"))</f>
        <v/>
      </c>
      <c r="G56" s="8"/>
      <c r="H56" s="8"/>
      <c r="I56" s="8"/>
      <c r="J56" s="11">
        <f>IF(E56="","",IFERROR(VLOOKUP(E56,Services!$A$2:$D$4,3,FALSE),0))</f>
        <v/>
      </c>
      <c r="K56" s="9">
        <f>IF(C56="","",IFERROR(VLOOKUP(C56,Clients!$A$2:$M$51,11,FALSE),"Non"))</f>
        <v/>
      </c>
      <c r="L56" s="12">
        <f>IF(A56="","",IF(I56&lt;&gt;"Réalisé",0,IF(E56&lt;&gt;"Sexologie",0,IF(K56&lt;&gt;"Oui",0,IF(AND(B56&gt;=Parametres!$B$2,B56&lt;=Parametres!$B$3),Parametres!$B$5,0)))))</f>
        <v/>
      </c>
      <c r="M56" s="11">
        <f>IF(A56="","",IF(I56="Réalisé",ROUND(H56*J56,2),0))</f>
        <v/>
      </c>
      <c r="N56" s="11">
        <f>IF(A56="","",ROUND(M56*L56,2))</f>
        <v/>
      </c>
      <c r="O56" s="11">
        <f>IF(A56="","",ROUND(M56-N56,2))</f>
        <v/>
      </c>
      <c r="P56" s="8"/>
      <c r="Q56" s="8"/>
      <c r="R56" s="13">
        <f>IF(A56="","",IF(I56="Réalisé",H56,0))</f>
        <v/>
      </c>
      <c r="S56" s="9">
        <f>IF(A56="","",IF(COUNTIF($A$2:$A$301,A56)&gt;1,"DOUBLON RDV",IF(COUNTIF(Clients!$A$2:$A$51,C56)&lt;&gt;1,"Client à corriger",IF(COUNTIF(Services!$A$2:$A$4,E56)&lt;&gt;1,"Service à corriger",IF(OR(NOT(ISNUMBER(B56)),G56&lt;=0,H56&lt;0,COUNTIF(ListeStatuts,I56)&lt;&gt;1,COUNTIF(ListeFactures,P56)&lt;&gt;1),"Saisie à corriger",IF(AND(I56="Réalisé",OR(H56&lt;=0,B56&gt;Parametres!$B$7)),"Réalisation à vérifier",IF(AND(P56="Émise",OR(Q56="",I56&lt;&gt;"Réalisé")),"Facture à corriger",IF(AND(Q56&lt;&gt;"",COUNTIF($Q$2:$Q$301,Q56)&gt;1),"DOUBLON FACTURE",IF(AND(I56="Réalisé",ABS(G56-H56)&gt;0.001,T56=""),"Écart heures","OK")))))))))</f>
        <v/>
      </c>
      <c r="T56" s="8"/>
    </row>
    <row r="57" spans="1:20" ht="22" customHeight="1">
      <c r="A57" s="8"/>
      <c r="B57" s="6"/>
      <c r="C57" s="8"/>
      <c r="D57" s="9">
        <f>IF(C57="","",IFERROR(VLOOKUP(C57,Clients!$A$2:$M$51,12,FALSE),"CLIENT INCONNU"))</f>
        <v/>
      </c>
      <c r="E57" s="8"/>
      <c r="F57" s="9">
        <f>IF(E57="","",IFERROR(VLOOKUP(E57,Services!$A$2:$D$4,2,FALSE),"SERVICE INCONNU"))</f>
        <v/>
      </c>
      <c r="G57" s="8"/>
      <c r="H57" s="8"/>
      <c r="I57" s="8"/>
      <c r="J57" s="11">
        <f>IF(E57="","",IFERROR(VLOOKUP(E57,Services!$A$2:$D$4,3,FALSE),0))</f>
        <v/>
      </c>
      <c r="K57" s="9">
        <f>IF(C57="","",IFERROR(VLOOKUP(C57,Clients!$A$2:$M$51,11,FALSE),"Non"))</f>
        <v/>
      </c>
      <c r="L57" s="12">
        <f>IF(A57="","",IF(I57&lt;&gt;"Réalisé",0,IF(E57&lt;&gt;"Sexologie",0,IF(K57&lt;&gt;"Oui",0,IF(AND(B57&gt;=Parametres!$B$2,B57&lt;=Parametres!$B$3),Parametres!$B$5,0)))))</f>
        <v/>
      </c>
      <c r="M57" s="11">
        <f>IF(A57="","",IF(I57="Réalisé",ROUND(H57*J57,2),0))</f>
        <v/>
      </c>
      <c r="N57" s="11">
        <f>IF(A57="","",ROUND(M57*L57,2))</f>
        <v/>
      </c>
      <c r="O57" s="11">
        <f>IF(A57="","",ROUND(M57-N57,2))</f>
        <v/>
      </c>
      <c r="P57" s="8"/>
      <c r="Q57" s="8"/>
      <c r="R57" s="13">
        <f>IF(A57="","",IF(I57="Réalisé",H57,0))</f>
        <v/>
      </c>
      <c r="S57" s="9">
        <f>IF(A57="","",IF(COUNTIF($A$2:$A$301,A57)&gt;1,"DOUBLON RDV",IF(COUNTIF(Clients!$A$2:$A$51,C57)&lt;&gt;1,"Client à corriger",IF(COUNTIF(Services!$A$2:$A$4,E57)&lt;&gt;1,"Service à corriger",IF(OR(NOT(ISNUMBER(B57)),G57&lt;=0,H57&lt;0,COUNTIF(ListeStatuts,I57)&lt;&gt;1,COUNTIF(ListeFactures,P57)&lt;&gt;1),"Saisie à corriger",IF(AND(I57="Réalisé",OR(H57&lt;=0,B57&gt;Parametres!$B$7)),"Réalisation à vérifier",IF(AND(P57="Émise",OR(Q57="",I57&lt;&gt;"Réalisé")),"Facture à corriger",IF(AND(Q57&lt;&gt;"",COUNTIF($Q$2:$Q$301,Q57)&gt;1),"DOUBLON FACTURE",IF(AND(I57="Réalisé",ABS(G57-H57)&gt;0.001,T57=""),"Écart heures","OK")))))))))</f>
        <v/>
      </c>
      <c r="T57" s="8"/>
    </row>
    <row r="58" spans="1:20" ht="22" customHeight="1">
      <c r="A58" s="8"/>
      <c r="B58" s="6"/>
      <c r="C58" s="8"/>
      <c r="D58" s="9">
        <f>IF(C58="","",IFERROR(VLOOKUP(C58,Clients!$A$2:$M$51,12,FALSE),"CLIENT INCONNU"))</f>
        <v/>
      </c>
      <c r="E58" s="8"/>
      <c r="F58" s="9">
        <f>IF(E58="","",IFERROR(VLOOKUP(E58,Services!$A$2:$D$4,2,FALSE),"SERVICE INCONNU"))</f>
        <v/>
      </c>
      <c r="G58" s="8"/>
      <c r="H58" s="8"/>
      <c r="I58" s="8"/>
      <c r="J58" s="11">
        <f>IF(E58="","",IFERROR(VLOOKUP(E58,Services!$A$2:$D$4,3,FALSE),0))</f>
        <v/>
      </c>
      <c r="K58" s="9">
        <f>IF(C58="","",IFERROR(VLOOKUP(C58,Clients!$A$2:$M$51,11,FALSE),"Non"))</f>
        <v/>
      </c>
      <c r="L58" s="12">
        <f>IF(A58="","",IF(I58&lt;&gt;"Réalisé",0,IF(E58&lt;&gt;"Sexologie",0,IF(K58&lt;&gt;"Oui",0,IF(AND(B58&gt;=Parametres!$B$2,B58&lt;=Parametres!$B$3),Parametres!$B$5,0)))))</f>
        <v/>
      </c>
      <c r="M58" s="11">
        <f>IF(A58="","",IF(I58="Réalisé",ROUND(H58*J58,2),0))</f>
        <v/>
      </c>
      <c r="N58" s="11">
        <f>IF(A58="","",ROUND(M58*L58,2))</f>
        <v/>
      </c>
      <c r="O58" s="11">
        <f>IF(A58="","",ROUND(M58-N58,2))</f>
        <v/>
      </c>
      <c r="P58" s="8"/>
      <c r="Q58" s="8"/>
      <c r="R58" s="13">
        <f>IF(A58="","",IF(I58="Réalisé",H58,0))</f>
        <v/>
      </c>
      <c r="S58" s="9">
        <f>IF(A58="","",IF(COUNTIF($A$2:$A$301,A58)&gt;1,"DOUBLON RDV",IF(COUNTIF(Clients!$A$2:$A$51,C58)&lt;&gt;1,"Client à corriger",IF(COUNTIF(Services!$A$2:$A$4,E58)&lt;&gt;1,"Service à corriger",IF(OR(NOT(ISNUMBER(B58)),G58&lt;=0,H58&lt;0,COUNTIF(ListeStatuts,I58)&lt;&gt;1,COUNTIF(ListeFactures,P58)&lt;&gt;1),"Saisie à corriger",IF(AND(I58="Réalisé",OR(H58&lt;=0,B58&gt;Parametres!$B$7)),"Réalisation à vérifier",IF(AND(P58="Émise",OR(Q58="",I58&lt;&gt;"Réalisé")),"Facture à corriger",IF(AND(Q58&lt;&gt;"",COUNTIF($Q$2:$Q$301,Q58)&gt;1),"DOUBLON FACTURE",IF(AND(I58="Réalisé",ABS(G58-H58)&gt;0.001,T58=""),"Écart heures","OK")))))))))</f>
        <v/>
      </c>
      <c r="T58" s="8"/>
    </row>
    <row r="59" spans="1:20" ht="22" customHeight="1">
      <c r="A59" s="8"/>
      <c r="B59" s="6"/>
      <c r="C59" s="8"/>
      <c r="D59" s="9">
        <f>IF(C59="","",IFERROR(VLOOKUP(C59,Clients!$A$2:$M$51,12,FALSE),"CLIENT INCONNU"))</f>
        <v/>
      </c>
      <c r="E59" s="8"/>
      <c r="F59" s="9">
        <f>IF(E59="","",IFERROR(VLOOKUP(E59,Services!$A$2:$D$4,2,FALSE),"SERVICE INCONNU"))</f>
        <v/>
      </c>
      <c r="G59" s="8"/>
      <c r="H59" s="8"/>
      <c r="I59" s="8"/>
      <c r="J59" s="11">
        <f>IF(E59="","",IFERROR(VLOOKUP(E59,Services!$A$2:$D$4,3,FALSE),0))</f>
        <v/>
      </c>
      <c r="K59" s="9">
        <f>IF(C59="","",IFERROR(VLOOKUP(C59,Clients!$A$2:$M$51,11,FALSE),"Non"))</f>
        <v/>
      </c>
      <c r="L59" s="12">
        <f>IF(A59="","",IF(I59&lt;&gt;"Réalisé",0,IF(E59&lt;&gt;"Sexologie",0,IF(K59&lt;&gt;"Oui",0,IF(AND(B59&gt;=Parametres!$B$2,B59&lt;=Parametres!$B$3),Parametres!$B$5,0)))))</f>
        <v/>
      </c>
      <c r="M59" s="11">
        <f>IF(A59="","",IF(I59="Réalisé",ROUND(H59*J59,2),0))</f>
        <v/>
      </c>
      <c r="N59" s="11">
        <f>IF(A59="","",ROUND(M59*L59,2))</f>
        <v/>
      </c>
      <c r="O59" s="11">
        <f>IF(A59="","",ROUND(M59-N59,2))</f>
        <v/>
      </c>
      <c r="P59" s="8"/>
      <c r="Q59" s="8"/>
      <c r="R59" s="13">
        <f>IF(A59="","",IF(I59="Réalisé",H59,0))</f>
        <v/>
      </c>
      <c r="S59" s="9">
        <f>IF(A59="","",IF(COUNTIF($A$2:$A$301,A59)&gt;1,"DOUBLON RDV",IF(COUNTIF(Clients!$A$2:$A$51,C59)&lt;&gt;1,"Client à corriger",IF(COUNTIF(Services!$A$2:$A$4,E59)&lt;&gt;1,"Service à corriger",IF(OR(NOT(ISNUMBER(B59)),G59&lt;=0,H59&lt;0,COUNTIF(ListeStatuts,I59)&lt;&gt;1,COUNTIF(ListeFactures,P59)&lt;&gt;1),"Saisie à corriger",IF(AND(I59="Réalisé",OR(H59&lt;=0,B59&gt;Parametres!$B$7)),"Réalisation à vérifier",IF(AND(P59="Émise",OR(Q59="",I59&lt;&gt;"Réalisé")),"Facture à corriger",IF(AND(Q59&lt;&gt;"",COUNTIF($Q$2:$Q$301,Q59)&gt;1),"DOUBLON FACTURE",IF(AND(I59="Réalisé",ABS(G59-H59)&gt;0.001,T59=""),"Écart heures","OK")))))))))</f>
        <v/>
      </c>
      <c r="T59" s="8"/>
    </row>
    <row r="60" spans="1:20" ht="22" customHeight="1">
      <c r="A60" s="8"/>
      <c r="B60" s="6"/>
      <c r="C60" s="8"/>
      <c r="D60" s="9">
        <f>IF(C60="","",IFERROR(VLOOKUP(C60,Clients!$A$2:$M$51,12,FALSE),"CLIENT INCONNU"))</f>
        <v/>
      </c>
      <c r="E60" s="8"/>
      <c r="F60" s="9">
        <f>IF(E60="","",IFERROR(VLOOKUP(E60,Services!$A$2:$D$4,2,FALSE),"SERVICE INCONNU"))</f>
        <v/>
      </c>
      <c r="G60" s="8"/>
      <c r="H60" s="8"/>
      <c r="I60" s="8"/>
      <c r="J60" s="11">
        <f>IF(E60="","",IFERROR(VLOOKUP(E60,Services!$A$2:$D$4,3,FALSE),0))</f>
        <v/>
      </c>
      <c r="K60" s="9">
        <f>IF(C60="","",IFERROR(VLOOKUP(C60,Clients!$A$2:$M$51,11,FALSE),"Non"))</f>
        <v/>
      </c>
      <c r="L60" s="12">
        <f>IF(A60="","",IF(I60&lt;&gt;"Réalisé",0,IF(E60&lt;&gt;"Sexologie",0,IF(K60&lt;&gt;"Oui",0,IF(AND(B60&gt;=Parametres!$B$2,B60&lt;=Parametres!$B$3),Parametres!$B$5,0)))))</f>
        <v/>
      </c>
      <c r="M60" s="11">
        <f>IF(A60="","",IF(I60="Réalisé",ROUND(H60*J60,2),0))</f>
        <v/>
      </c>
      <c r="N60" s="11">
        <f>IF(A60="","",ROUND(M60*L60,2))</f>
        <v/>
      </c>
      <c r="O60" s="11">
        <f>IF(A60="","",ROUND(M60-N60,2))</f>
        <v/>
      </c>
      <c r="P60" s="8"/>
      <c r="Q60" s="8"/>
      <c r="R60" s="13">
        <f>IF(A60="","",IF(I60="Réalisé",H60,0))</f>
        <v/>
      </c>
      <c r="S60" s="9">
        <f>IF(A60="","",IF(COUNTIF($A$2:$A$301,A60)&gt;1,"DOUBLON RDV",IF(COUNTIF(Clients!$A$2:$A$51,C60)&lt;&gt;1,"Client à corriger",IF(COUNTIF(Services!$A$2:$A$4,E60)&lt;&gt;1,"Service à corriger",IF(OR(NOT(ISNUMBER(B60)),G60&lt;=0,H60&lt;0,COUNTIF(ListeStatuts,I60)&lt;&gt;1,COUNTIF(ListeFactures,P60)&lt;&gt;1),"Saisie à corriger",IF(AND(I60="Réalisé",OR(H60&lt;=0,B60&gt;Parametres!$B$7)),"Réalisation à vérifier",IF(AND(P60="Émise",OR(Q60="",I60&lt;&gt;"Réalisé")),"Facture à corriger",IF(AND(Q60&lt;&gt;"",COUNTIF($Q$2:$Q$301,Q60)&gt;1),"DOUBLON FACTURE",IF(AND(I60="Réalisé",ABS(G60-H60)&gt;0.001,T60=""),"Écart heures","OK")))))))))</f>
        <v/>
      </c>
      <c r="T60" s="8"/>
    </row>
    <row r="61" spans="1:20" ht="22" customHeight="1">
      <c r="A61" s="8"/>
      <c r="B61" s="6"/>
      <c r="C61" s="8"/>
      <c r="D61" s="9">
        <f>IF(C61="","",IFERROR(VLOOKUP(C61,Clients!$A$2:$M$51,12,FALSE),"CLIENT INCONNU"))</f>
        <v/>
      </c>
      <c r="E61" s="8"/>
      <c r="F61" s="9">
        <f>IF(E61="","",IFERROR(VLOOKUP(E61,Services!$A$2:$D$4,2,FALSE),"SERVICE INCONNU"))</f>
        <v/>
      </c>
      <c r="G61" s="8"/>
      <c r="H61" s="8"/>
      <c r="I61" s="8"/>
      <c r="J61" s="11">
        <f>IF(E61="","",IFERROR(VLOOKUP(E61,Services!$A$2:$D$4,3,FALSE),0))</f>
        <v/>
      </c>
      <c r="K61" s="9">
        <f>IF(C61="","",IFERROR(VLOOKUP(C61,Clients!$A$2:$M$51,11,FALSE),"Non"))</f>
        <v/>
      </c>
      <c r="L61" s="12">
        <f>IF(A61="","",IF(I61&lt;&gt;"Réalisé",0,IF(E61&lt;&gt;"Sexologie",0,IF(K61&lt;&gt;"Oui",0,IF(AND(B61&gt;=Parametres!$B$2,B61&lt;=Parametres!$B$3),Parametres!$B$5,0)))))</f>
        <v/>
      </c>
      <c r="M61" s="11">
        <f>IF(A61="","",IF(I61="Réalisé",ROUND(H61*J61,2),0))</f>
        <v/>
      </c>
      <c r="N61" s="11">
        <f>IF(A61="","",ROUND(M61*L61,2))</f>
        <v/>
      </c>
      <c r="O61" s="11">
        <f>IF(A61="","",ROUND(M61-N61,2))</f>
        <v/>
      </c>
      <c r="P61" s="8"/>
      <c r="Q61" s="8"/>
      <c r="R61" s="13">
        <f>IF(A61="","",IF(I61="Réalisé",H61,0))</f>
        <v/>
      </c>
      <c r="S61" s="9">
        <f>IF(A61="","",IF(COUNTIF($A$2:$A$301,A61)&gt;1,"DOUBLON RDV",IF(COUNTIF(Clients!$A$2:$A$51,C61)&lt;&gt;1,"Client à corriger",IF(COUNTIF(Services!$A$2:$A$4,E61)&lt;&gt;1,"Service à corriger",IF(OR(NOT(ISNUMBER(B61)),G61&lt;=0,H61&lt;0,COUNTIF(ListeStatuts,I61)&lt;&gt;1,COUNTIF(ListeFactures,P61)&lt;&gt;1),"Saisie à corriger",IF(AND(I61="Réalisé",OR(H61&lt;=0,B61&gt;Parametres!$B$7)),"Réalisation à vérifier",IF(AND(P61="Émise",OR(Q61="",I61&lt;&gt;"Réalisé")),"Facture à corriger",IF(AND(Q61&lt;&gt;"",COUNTIF($Q$2:$Q$301,Q61)&gt;1),"DOUBLON FACTURE",IF(AND(I61="Réalisé",ABS(G61-H61)&gt;0.001,T61=""),"Écart heures","OK")))))))))</f>
        <v/>
      </c>
      <c r="T61" s="8"/>
    </row>
    <row r="62" spans="1:20" ht="22" customHeight="1">
      <c r="A62" s="8"/>
      <c r="B62" s="6"/>
      <c r="C62" s="8"/>
      <c r="D62" s="9">
        <f>IF(C62="","",IFERROR(VLOOKUP(C62,Clients!$A$2:$M$51,12,FALSE),"CLIENT INCONNU"))</f>
        <v/>
      </c>
      <c r="E62" s="8"/>
      <c r="F62" s="9">
        <f>IF(E62="","",IFERROR(VLOOKUP(E62,Services!$A$2:$D$4,2,FALSE),"SERVICE INCONNU"))</f>
        <v/>
      </c>
      <c r="G62" s="8"/>
      <c r="H62" s="8"/>
      <c r="I62" s="8"/>
      <c r="J62" s="11">
        <f>IF(E62="","",IFERROR(VLOOKUP(E62,Services!$A$2:$D$4,3,FALSE),0))</f>
        <v/>
      </c>
      <c r="K62" s="9">
        <f>IF(C62="","",IFERROR(VLOOKUP(C62,Clients!$A$2:$M$51,11,FALSE),"Non"))</f>
        <v/>
      </c>
      <c r="L62" s="12">
        <f>IF(A62="","",IF(I62&lt;&gt;"Réalisé",0,IF(E62&lt;&gt;"Sexologie",0,IF(K62&lt;&gt;"Oui",0,IF(AND(B62&gt;=Parametres!$B$2,B62&lt;=Parametres!$B$3),Parametres!$B$5,0)))))</f>
        <v/>
      </c>
      <c r="M62" s="11">
        <f>IF(A62="","",IF(I62="Réalisé",ROUND(H62*J62,2),0))</f>
        <v/>
      </c>
      <c r="N62" s="11">
        <f>IF(A62="","",ROUND(M62*L62,2))</f>
        <v/>
      </c>
      <c r="O62" s="11">
        <f>IF(A62="","",ROUND(M62-N62,2))</f>
        <v/>
      </c>
      <c r="P62" s="8"/>
      <c r="Q62" s="8"/>
      <c r="R62" s="13">
        <f>IF(A62="","",IF(I62="Réalisé",H62,0))</f>
        <v/>
      </c>
      <c r="S62" s="9">
        <f>IF(A62="","",IF(COUNTIF($A$2:$A$301,A62)&gt;1,"DOUBLON RDV",IF(COUNTIF(Clients!$A$2:$A$51,C62)&lt;&gt;1,"Client à corriger",IF(COUNTIF(Services!$A$2:$A$4,E62)&lt;&gt;1,"Service à corriger",IF(OR(NOT(ISNUMBER(B62)),G62&lt;=0,H62&lt;0,COUNTIF(ListeStatuts,I62)&lt;&gt;1,COUNTIF(ListeFactures,P62)&lt;&gt;1),"Saisie à corriger",IF(AND(I62="Réalisé",OR(H62&lt;=0,B62&gt;Parametres!$B$7)),"Réalisation à vérifier",IF(AND(P62="Émise",OR(Q62="",I62&lt;&gt;"Réalisé")),"Facture à corriger",IF(AND(Q62&lt;&gt;"",COUNTIF($Q$2:$Q$301,Q62)&gt;1),"DOUBLON FACTURE",IF(AND(I62="Réalisé",ABS(G62-H62)&gt;0.001,T62=""),"Écart heures","OK")))))))))</f>
        <v/>
      </c>
      <c r="T62" s="8"/>
    </row>
    <row r="63" spans="1:20" ht="22" customHeight="1">
      <c r="A63" s="8"/>
      <c r="B63" s="6"/>
      <c r="C63" s="8"/>
      <c r="D63" s="9">
        <f>IF(C63="","",IFERROR(VLOOKUP(C63,Clients!$A$2:$M$51,12,FALSE),"CLIENT INCONNU"))</f>
        <v/>
      </c>
      <c r="E63" s="8"/>
      <c r="F63" s="9">
        <f>IF(E63="","",IFERROR(VLOOKUP(E63,Services!$A$2:$D$4,2,FALSE),"SERVICE INCONNU"))</f>
        <v/>
      </c>
      <c r="G63" s="8"/>
      <c r="H63" s="8"/>
      <c r="I63" s="8"/>
      <c r="J63" s="11">
        <f>IF(E63="","",IFERROR(VLOOKUP(E63,Services!$A$2:$D$4,3,FALSE),0))</f>
        <v/>
      </c>
      <c r="K63" s="9">
        <f>IF(C63="","",IFERROR(VLOOKUP(C63,Clients!$A$2:$M$51,11,FALSE),"Non"))</f>
        <v/>
      </c>
      <c r="L63" s="12">
        <f>IF(A63="","",IF(I63&lt;&gt;"Réalisé",0,IF(E63&lt;&gt;"Sexologie",0,IF(K63&lt;&gt;"Oui",0,IF(AND(B63&gt;=Parametres!$B$2,B63&lt;=Parametres!$B$3),Parametres!$B$5,0)))))</f>
        <v/>
      </c>
      <c r="M63" s="11">
        <f>IF(A63="","",IF(I63="Réalisé",ROUND(H63*J63,2),0))</f>
        <v/>
      </c>
      <c r="N63" s="11">
        <f>IF(A63="","",ROUND(M63*L63,2))</f>
        <v/>
      </c>
      <c r="O63" s="11">
        <f>IF(A63="","",ROUND(M63-N63,2))</f>
        <v/>
      </c>
      <c r="P63" s="8"/>
      <c r="Q63" s="8"/>
      <c r="R63" s="13">
        <f>IF(A63="","",IF(I63="Réalisé",H63,0))</f>
        <v/>
      </c>
      <c r="S63" s="9">
        <f>IF(A63="","",IF(COUNTIF($A$2:$A$301,A63)&gt;1,"DOUBLON RDV",IF(COUNTIF(Clients!$A$2:$A$51,C63)&lt;&gt;1,"Client à corriger",IF(COUNTIF(Services!$A$2:$A$4,E63)&lt;&gt;1,"Service à corriger",IF(OR(NOT(ISNUMBER(B63)),G63&lt;=0,H63&lt;0,COUNTIF(ListeStatuts,I63)&lt;&gt;1,COUNTIF(ListeFactures,P63)&lt;&gt;1),"Saisie à corriger",IF(AND(I63="Réalisé",OR(H63&lt;=0,B63&gt;Parametres!$B$7)),"Réalisation à vérifier",IF(AND(P63="Émise",OR(Q63="",I63&lt;&gt;"Réalisé")),"Facture à corriger",IF(AND(Q63&lt;&gt;"",COUNTIF($Q$2:$Q$301,Q63)&gt;1),"DOUBLON FACTURE",IF(AND(I63="Réalisé",ABS(G63-H63)&gt;0.001,T63=""),"Écart heures","OK")))))))))</f>
        <v/>
      </c>
      <c r="T63" s="8"/>
    </row>
    <row r="64" spans="1:20" ht="22" customHeight="1">
      <c r="A64" s="8"/>
      <c r="B64" s="6"/>
      <c r="C64" s="8"/>
      <c r="D64" s="9">
        <f>IF(C64="","",IFERROR(VLOOKUP(C64,Clients!$A$2:$M$51,12,FALSE),"CLIENT INCONNU"))</f>
        <v/>
      </c>
      <c r="E64" s="8"/>
      <c r="F64" s="9">
        <f>IF(E64="","",IFERROR(VLOOKUP(E64,Services!$A$2:$D$4,2,FALSE),"SERVICE INCONNU"))</f>
        <v/>
      </c>
      <c r="G64" s="8"/>
      <c r="H64" s="8"/>
      <c r="I64" s="8"/>
      <c r="J64" s="11">
        <f>IF(E64="","",IFERROR(VLOOKUP(E64,Services!$A$2:$D$4,3,FALSE),0))</f>
        <v/>
      </c>
      <c r="K64" s="9">
        <f>IF(C64="","",IFERROR(VLOOKUP(C64,Clients!$A$2:$M$51,11,FALSE),"Non"))</f>
        <v/>
      </c>
      <c r="L64" s="12">
        <f>IF(A64="","",IF(I64&lt;&gt;"Réalisé",0,IF(E64&lt;&gt;"Sexologie",0,IF(K64&lt;&gt;"Oui",0,IF(AND(B64&gt;=Parametres!$B$2,B64&lt;=Parametres!$B$3),Parametres!$B$5,0)))))</f>
        <v/>
      </c>
      <c r="M64" s="11">
        <f>IF(A64="","",IF(I64="Réalisé",ROUND(H64*J64,2),0))</f>
        <v/>
      </c>
      <c r="N64" s="11">
        <f>IF(A64="","",ROUND(M64*L64,2))</f>
        <v/>
      </c>
      <c r="O64" s="11">
        <f>IF(A64="","",ROUND(M64-N64,2))</f>
        <v/>
      </c>
      <c r="P64" s="8"/>
      <c r="Q64" s="8"/>
      <c r="R64" s="13">
        <f>IF(A64="","",IF(I64="Réalisé",H64,0))</f>
        <v/>
      </c>
      <c r="S64" s="9">
        <f>IF(A64="","",IF(COUNTIF($A$2:$A$301,A64)&gt;1,"DOUBLON RDV",IF(COUNTIF(Clients!$A$2:$A$51,C64)&lt;&gt;1,"Client à corriger",IF(COUNTIF(Services!$A$2:$A$4,E64)&lt;&gt;1,"Service à corriger",IF(OR(NOT(ISNUMBER(B64)),G64&lt;=0,H64&lt;0,COUNTIF(ListeStatuts,I64)&lt;&gt;1,COUNTIF(ListeFactures,P64)&lt;&gt;1),"Saisie à corriger",IF(AND(I64="Réalisé",OR(H64&lt;=0,B64&gt;Parametres!$B$7)),"Réalisation à vérifier",IF(AND(P64="Émise",OR(Q64="",I64&lt;&gt;"Réalisé")),"Facture à corriger",IF(AND(Q64&lt;&gt;"",COUNTIF($Q$2:$Q$301,Q64)&gt;1),"DOUBLON FACTURE",IF(AND(I64="Réalisé",ABS(G64-H64)&gt;0.001,T64=""),"Écart heures","OK")))))))))</f>
        <v/>
      </c>
      <c r="T64" s="8"/>
    </row>
    <row r="65" spans="1:20" ht="22" customHeight="1">
      <c r="A65" s="8"/>
      <c r="B65" s="6"/>
      <c r="C65" s="8"/>
      <c r="D65" s="9">
        <f>IF(C65="","",IFERROR(VLOOKUP(C65,Clients!$A$2:$M$51,12,FALSE),"CLIENT INCONNU"))</f>
        <v/>
      </c>
      <c r="E65" s="8"/>
      <c r="F65" s="9">
        <f>IF(E65="","",IFERROR(VLOOKUP(E65,Services!$A$2:$D$4,2,FALSE),"SERVICE INCONNU"))</f>
        <v/>
      </c>
      <c r="G65" s="8"/>
      <c r="H65" s="8"/>
      <c r="I65" s="8"/>
      <c r="J65" s="11">
        <f>IF(E65="","",IFERROR(VLOOKUP(E65,Services!$A$2:$D$4,3,FALSE),0))</f>
        <v/>
      </c>
      <c r="K65" s="9">
        <f>IF(C65="","",IFERROR(VLOOKUP(C65,Clients!$A$2:$M$51,11,FALSE),"Non"))</f>
        <v/>
      </c>
      <c r="L65" s="12">
        <f>IF(A65="","",IF(I65&lt;&gt;"Réalisé",0,IF(E65&lt;&gt;"Sexologie",0,IF(K65&lt;&gt;"Oui",0,IF(AND(B65&gt;=Parametres!$B$2,B65&lt;=Parametres!$B$3),Parametres!$B$5,0)))))</f>
        <v/>
      </c>
      <c r="M65" s="11">
        <f>IF(A65="","",IF(I65="Réalisé",ROUND(H65*J65,2),0))</f>
        <v/>
      </c>
      <c r="N65" s="11">
        <f>IF(A65="","",ROUND(M65*L65,2))</f>
        <v/>
      </c>
      <c r="O65" s="11">
        <f>IF(A65="","",ROUND(M65-N65,2))</f>
        <v/>
      </c>
      <c r="P65" s="8"/>
      <c r="Q65" s="8"/>
      <c r="R65" s="13">
        <f>IF(A65="","",IF(I65="Réalisé",H65,0))</f>
        <v/>
      </c>
      <c r="S65" s="9">
        <f>IF(A65="","",IF(COUNTIF($A$2:$A$301,A65)&gt;1,"DOUBLON RDV",IF(COUNTIF(Clients!$A$2:$A$51,C65)&lt;&gt;1,"Client à corriger",IF(COUNTIF(Services!$A$2:$A$4,E65)&lt;&gt;1,"Service à corriger",IF(OR(NOT(ISNUMBER(B65)),G65&lt;=0,H65&lt;0,COUNTIF(ListeStatuts,I65)&lt;&gt;1,COUNTIF(ListeFactures,P65)&lt;&gt;1),"Saisie à corriger",IF(AND(I65="Réalisé",OR(H65&lt;=0,B65&gt;Parametres!$B$7)),"Réalisation à vérifier",IF(AND(P65="Émise",OR(Q65="",I65&lt;&gt;"Réalisé")),"Facture à corriger",IF(AND(Q65&lt;&gt;"",COUNTIF($Q$2:$Q$301,Q65)&gt;1),"DOUBLON FACTURE",IF(AND(I65="Réalisé",ABS(G65-H65)&gt;0.001,T65=""),"Écart heures","OK")))))))))</f>
        <v/>
      </c>
      <c r="T65" s="8"/>
    </row>
    <row r="66" spans="1:20" ht="22" customHeight="1">
      <c r="A66" s="8"/>
      <c r="B66" s="6"/>
      <c r="C66" s="8"/>
      <c r="D66" s="9">
        <f>IF(C66="","",IFERROR(VLOOKUP(C66,Clients!$A$2:$M$51,12,FALSE),"CLIENT INCONNU"))</f>
        <v/>
      </c>
      <c r="E66" s="8"/>
      <c r="F66" s="9">
        <f>IF(E66="","",IFERROR(VLOOKUP(E66,Services!$A$2:$D$4,2,FALSE),"SERVICE INCONNU"))</f>
        <v/>
      </c>
      <c r="G66" s="8"/>
      <c r="H66" s="8"/>
      <c r="I66" s="8"/>
      <c r="J66" s="11">
        <f>IF(E66="","",IFERROR(VLOOKUP(E66,Services!$A$2:$D$4,3,FALSE),0))</f>
        <v/>
      </c>
      <c r="K66" s="9">
        <f>IF(C66="","",IFERROR(VLOOKUP(C66,Clients!$A$2:$M$51,11,FALSE),"Non"))</f>
        <v/>
      </c>
      <c r="L66" s="12">
        <f>IF(A66="","",IF(I66&lt;&gt;"Réalisé",0,IF(E66&lt;&gt;"Sexologie",0,IF(K66&lt;&gt;"Oui",0,IF(AND(B66&gt;=Parametres!$B$2,B66&lt;=Parametres!$B$3),Parametres!$B$5,0)))))</f>
        <v/>
      </c>
      <c r="M66" s="11">
        <f>IF(A66="","",IF(I66="Réalisé",ROUND(H66*J66,2),0))</f>
        <v/>
      </c>
      <c r="N66" s="11">
        <f>IF(A66="","",ROUND(M66*L66,2))</f>
        <v/>
      </c>
      <c r="O66" s="11">
        <f>IF(A66="","",ROUND(M66-N66,2))</f>
        <v/>
      </c>
      <c r="P66" s="8"/>
      <c r="Q66" s="8"/>
      <c r="R66" s="13">
        <f>IF(A66="","",IF(I66="Réalisé",H66,0))</f>
        <v/>
      </c>
      <c r="S66" s="9">
        <f>IF(A66="","",IF(COUNTIF($A$2:$A$301,A66)&gt;1,"DOUBLON RDV",IF(COUNTIF(Clients!$A$2:$A$51,C66)&lt;&gt;1,"Client à corriger",IF(COUNTIF(Services!$A$2:$A$4,E66)&lt;&gt;1,"Service à corriger",IF(OR(NOT(ISNUMBER(B66)),G66&lt;=0,H66&lt;0,COUNTIF(ListeStatuts,I66)&lt;&gt;1,COUNTIF(ListeFactures,P66)&lt;&gt;1),"Saisie à corriger",IF(AND(I66="Réalisé",OR(H66&lt;=0,B66&gt;Parametres!$B$7)),"Réalisation à vérifier",IF(AND(P66="Émise",OR(Q66="",I66&lt;&gt;"Réalisé")),"Facture à corriger",IF(AND(Q66&lt;&gt;"",COUNTIF($Q$2:$Q$301,Q66)&gt;1),"DOUBLON FACTURE",IF(AND(I66="Réalisé",ABS(G66-H66)&gt;0.001,T66=""),"Écart heures","OK")))))))))</f>
        <v/>
      </c>
      <c r="T66" s="8"/>
    </row>
    <row r="67" spans="1:20" ht="22" customHeight="1">
      <c r="A67" s="8"/>
      <c r="B67" s="6"/>
      <c r="C67" s="8"/>
      <c r="D67" s="9">
        <f>IF(C67="","",IFERROR(VLOOKUP(C67,Clients!$A$2:$M$51,12,FALSE),"CLIENT INCONNU"))</f>
        <v/>
      </c>
      <c r="E67" s="8"/>
      <c r="F67" s="9">
        <f>IF(E67="","",IFERROR(VLOOKUP(E67,Services!$A$2:$D$4,2,FALSE),"SERVICE INCONNU"))</f>
        <v/>
      </c>
      <c r="G67" s="8"/>
      <c r="H67" s="8"/>
      <c r="I67" s="8"/>
      <c r="J67" s="11">
        <f>IF(E67="","",IFERROR(VLOOKUP(E67,Services!$A$2:$D$4,3,FALSE),0))</f>
        <v/>
      </c>
      <c r="K67" s="9">
        <f>IF(C67="","",IFERROR(VLOOKUP(C67,Clients!$A$2:$M$51,11,FALSE),"Non"))</f>
        <v/>
      </c>
      <c r="L67" s="12">
        <f>IF(A67="","",IF(I67&lt;&gt;"Réalisé",0,IF(E67&lt;&gt;"Sexologie",0,IF(K67&lt;&gt;"Oui",0,IF(AND(B67&gt;=Parametres!$B$2,B67&lt;=Parametres!$B$3),Parametres!$B$5,0)))))</f>
        <v/>
      </c>
      <c r="M67" s="11">
        <f>IF(A67="","",IF(I67="Réalisé",ROUND(H67*J67,2),0))</f>
        <v/>
      </c>
      <c r="N67" s="11">
        <f>IF(A67="","",ROUND(M67*L67,2))</f>
        <v/>
      </c>
      <c r="O67" s="11">
        <f>IF(A67="","",ROUND(M67-N67,2))</f>
        <v/>
      </c>
      <c r="P67" s="8"/>
      <c r="Q67" s="8"/>
      <c r="R67" s="13">
        <f>IF(A67="","",IF(I67="Réalisé",H67,0))</f>
        <v/>
      </c>
      <c r="S67" s="9">
        <f>IF(A67="","",IF(COUNTIF($A$2:$A$301,A67)&gt;1,"DOUBLON RDV",IF(COUNTIF(Clients!$A$2:$A$51,C67)&lt;&gt;1,"Client à corriger",IF(COUNTIF(Services!$A$2:$A$4,E67)&lt;&gt;1,"Service à corriger",IF(OR(NOT(ISNUMBER(B67)),G67&lt;=0,H67&lt;0,COUNTIF(ListeStatuts,I67)&lt;&gt;1,COUNTIF(ListeFactures,P67)&lt;&gt;1),"Saisie à corriger",IF(AND(I67="Réalisé",OR(H67&lt;=0,B67&gt;Parametres!$B$7)),"Réalisation à vérifier",IF(AND(P67="Émise",OR(Q67="",I67&lt;&gt;"Réalisé")),"Facture à corriger",IF(AND(Q67&lt;&gt;"",COUNTIF($Q$2:$Q$301,Q67)&gt;1),"DOUBLON FACTURE",IF(AND(I67="Réalisé",ABS(G67-H67)&gt;0.001,T67=""),"Écart heures","OK")))))))))</f>
        <v/>
      </c>
      <c r="T67" s="8"/>
    </row>
    <row r="68" spans="1:20" ht="22" customHeight="1">
      <c r="A68" s="8"/>
      <c r="B68" s="6"/>
      <c r="C68" s="8"/>
      <c r="D68" s="9">
        <f>IF(C68="","",IFERROR(VLOOKUP(C68,Clients!$A$2:$M$51,12,FALSE),"CLIENT INCONNU"))</f>
        <v/>
      </c>
      <c r="E68" s="8"/>
      <c r="F68" s="9">
        <f>IF(E68="","",IFERROR(VLOOKUP(E68,Services!$A$2:$D$4,2,FALSE),"SERVICE INCONNU"))</f>
        <v/>
      </c>
      <c r="G68" s="8"/>
      <c r="H68" s="8"/>
      <c r="I68" s="8"/>
      <c r="J68" s="11">
        <f>IF(E68="","",IFERROR(VLOOKUP(E68,Services!$A$2:$D$4,3,FALSE),0))</f>
        <v/>
      </c>
      <c r="K68" s="9">
        <f>IF(C68="","",IFERROR(VLOOKUP(C68,Clients!$A$2:$M$51,11,FALSE),"Non"))</f>
        <v/>
      </c>
      <c r="L68" s="12">
        <f>IF(A68="","",IF(I68&lt;&gt;"Réalisé",0,IF(E68&lt;&gt;"Sexologie",0,IF(K68&lt;&gt;"Oui",0,IF(AND(B68&gt;=Parametres!$B$2,B68&lt;=Parametres!$B$3),Parametres!$B$5,0)))))</f>
        <v/>
      </c>
      <c r="M68" s="11">
        <f>IF(A68="","",IF(I68="Réalisé",ROUND(H68*J68,2),0))</f>
        <v/>
      </c>
      <c r="N68" s="11">
        <f>IF(A68="","",ROUND(M68*L68,2))</f>
        <v/>
      </c>
      <c r="O68" s="11">
        <f>IF(A68="","",ROUND(M68-N68,2))</f>
        <v/>
      </c>
      <c r="P68" s="8"/>
      <c r="Q68" s="8"/>
      <c r="R68" s="13">
        <f>IF(A68="","",IF(I68="Réalisé",H68,0))</f>
        <v/>
      </c>
      <c r="S68" s="9">
        <f>IF(A68="","",IF(COUNTIF($A$2:$A$301,A68)&gt;1,"DOUBLON RDV",IF(COUNTIF(Clients!$A$2:$A$51,C68)&lt;&gt;1,"Client à corriger",IF(COUNTIF(Services!$A$2:$A$4,E68)&lt;&gt;1,"Service à corriger",IF(OR(NOT(ISNUMBER(B68)),G68&lt;=0,H68&lt;0,COUNTIF(ListeStatuts,I68)&lt;&gt;1,COUNTIF(ListeFactures,P68)&lt;&gt;1),"Saisie à corriger",IF(AND(I68="Réalisé",OR(H68&lt;=0,B68&gt;Parametres!$B$7)),"Réalisation à vérifier",IF(AND(P68="Émise",OR(Q68="",I68&lt;&gt;"Réalisé")),"Facture à corriger",IF(AND(Q68&lt;&gt;"",COUNTIF($Q$2:$Q$301,Q68)&gt;1),"DOUBLON FACTURE",IF(AND(I68="Réalisé",ABS(G68-H68)&gt;0.001,T68=""),"Écart heures","OK")))))))))</f>
        <v/>
      </c>
      <c r="T68" s="8"/>
    </row>
    <row r="69" spans="1:20" ht="22" customHeight="1">
      <c r="A69" s="8"/>
      <c r="B69" s="6"/>
      <c r="C69" s="8"/>
      <c r="D69" s="9">
        <f>IF(C69="","",IFERROR(VLOOKUP(C69,Clients!$A$2:$M$51,12,FALSE),"CLIENT INCONNU"))</f>
        <v/>
      </c>
      <c r="E69" s="8"/>
      <c r="F69" s="9">
        <f>IF(E69="","",IFERROR(VLOOKUP(E69,Services!$A$2:$D$4,2,FALSE),"SERVICE INCONNU"))</f>
        <v/>
      </c>
      <c r="G69" s="8"/>
      <c r="H69" s="8"/>
      <c r="I69" s="8"/>
      <c r="J69" s="11">
        <f>IF(E69="","",IFERROR(VLOOKUP(E69,Services!$A$2:$D$4,3,FALSE),0))</f>
        <v/>
      </c>
      <c r="K69" s="9">
        <f>IF(C69="","",IFERROR(VLOOKUP(C69,Clients!$A$2:$M$51,11,FALSE),"Non"))</f>
        <v/>
      </c>
      <c r="L69" s="12">
        <f>IF(A69="","",IF(I69&lt;&gt;"Réalisé",0,IF(E69&lt;&gt;"Sexologie",0,IF(K69&lt;&gt;"Oui",0,IF(AND(B69&gt;=Parametres!$B$2,B69&lt;=Parametres!$B$3),Parametres!$B$5,0)))))</f>
        <v/>
      </c>
      <c r="M69" s="11">
        <f>IF(A69="","",IF(I69="Réalisé",ROUND(H69*J69,2),0))</f>
        <v/>
      </c>
      <c r="N69" s="11">
        <f>IF(A69="","",ROUND(M69*L69,2))</f>
        <v/>
      </c>
      <c r="O69" s="11">
        <f>IF(A69="","",ROUND(M69-N69,2))</f>
        <v/>
      </c>
      <c r="P69" s="8"/>
      <c r="Q69" s="8"/>
      <c r="R69" s="13">
        <f>IF(A69="","",IF(I69="Réalisé",H69,0))</f>
        <v/>
      </c>
      <c r="S69" s="9">
        <f>IF(A69="","",IF(COUNTIF($A$2:$A$301,A69)&gt;1,"DOUBLON RDV",IF(COUNTIF(Clients!$A$2:$A$51,C69)&lt;&gt;1,"Client à corriger",IF(COUNTIF(Services!$A$2:$A$4,E69)&lt;&gt;1,"Service à corriger",IF(OR(NOT(ISNUMBER(B69)),G69&lt;=0,H69&lt;0,COUNTIF(ListeStatuts,I69)&lt;&gt;1,COUNTIF(ListeFactures,P69)&lt;&gt;1),"Saisie à corriger",IF(AND(I69="Réalisé",OR(H69&lt;=0,B69&gt;Parametres!$B$7)),"Réalisation à vérifier",IF(AND(P69="Émise",OR(Q69="",I69&lt;&gt;"Réalisé")),"Facture à corriger",IF(AND(Q69&lt;&gt;"",COUNTIF($Q$2:$Q$301,Q69)&gt;1),"DOUBLON FACTURE",IF(AND(I69="Réalisé",ABS(G69-H69)&gt;0.001,T69=""),"Écart heures","OK")))))))))</f>
        <v/>
      </c>
      <c r="T69" s="8"/>
    </row>
    <row r="70" spans="1:20" ht="22" customHeight="1">
      <c r="A70" s="8"/>
      <c r="B70" s="6"/>
      <c r="C70" s="8"/>
      <c r="D70" s="9">
        <f>IF(C70="","",IFERROR(VLOOKUP(C70,Clients!$A$2:$M$51,12,FALSE),"CLIENT INCONNU"))</f>
        <v/>
      </c>
      <c r="E70" s="8"/>
      <c r="F70" s="9">
        <f>IF(E70="","",IFERROR(VLOOKUP(E70,Services!$A$2:$D$4,2,FALSE),"SERVICE INCONNU"))</f>
        <v/>
      </c>
      <c r="G70" s="8"/>
      <c r="H70" s="8"/>
      <c r="I70" s="8"/>
      <c r="J70" s="11">
        <f>IF(E70="","",IFERROR(VLOOKUP(E70,Services!$A$2:$D$4,3,FALSE),0))</f>
        <v/>
      </c>
      <c r="K70" s="9">
        <f>IF(C70="","",IFERROR(VLOOKUP(C70,Clients!$A$2:$M$51,11,FALSE),"Non"))</f>
        <v/>
      </c>
      <c r="L70" s="12">
        <f>IF(A70="","",IF(I70&lt;&gt;"Réalisé",0,IF(E70&lt;&gt;"Sexologie",0,IF(K70&lt;&gt;"Oui",0,IF(AND(B70&gt;=Parametres!$B$2,B70&lt;=Parametres!$B$3),Parametres!$B$5,0)))))</f>
        <v/>
      </c>
      <c r="M70" s="11">
        <f>IF(A70="","",IF(I70="Réalisé",ROUND(H70*J70,2),0))</f>
        <v/>
      </c>
      <c r="N70" s="11">
        <f>IF(A70="","",ROUND(M70*L70,2))</f>
        <v/>
      </c>
      <c r="O70" s="11">
        <f>IF(A70="","",ROUND(M70-N70,2))</f>
        <v/>
      </c>
      <c r="P70" s="8"/>
      <c r="Q70" s="8"/>
      <c r="R70" s="13">
        <f>IF(A70="","",IF(I70="Réalisé",H70,0))</f>
        <v/>
      </c>
      <c r="S70" s="9">
        <f>IF(A70="","",IF(COUNTIF($A$2:$A$301,A70)&gt;1,"DOUBLON RDV",IF(COUNTIF(Clients!$A$2:$A$51,C70)&lt;&gt;1,"Client à corriger",IF(COUNTIF(Services!$A$2:$A$4,E70)&lt;&gt;1,"Service à corriger",IF(OR(NOT(ISNUMBER(B70)),G70&lt;=0,H70&lt;0,COUNTIF(ListeStatuts,I70)&lt;&gt;1,COUNTIF(ListeFactures,P70)&lt;&gt;1),"Saisie à corriger",IF(AND(I70="Réalisé",OR(H70&lt;=0,B70&gt;Parametres!$B$7)),"Réalisation à vérifier",IF(AND(P70="Émise",OR(Q70="",I70&lt;&gt;"Réalisé")),"Facture à corriger",IF(AND(Q70&lt;&gt;"",COUNTIF($Q$2:$Q$301,Q70)&gt;1),"DOUBLON FACTURE",IF(AND(I70="Réalisé",ABS(G70-H70)&gt;0.001,T70=""),"Écart heures","OK")))))))))</f>
        <v/>
      </c>
      <c r="T70" s="8"/>
    </row>
    <row r="71" spans="1:20" ht="22" customHeight="1">
      <c r="A71" s="8"/>
      <c r="B71" s="6"/>
      <c r="C71" s="8"/>
      <c r="D71" s="9">
        <f>IF(C71="","",IFERROR(VLOOKUP(C71,Clients!$A$2:$M$51,12,FALSE),"CLIENT INCONNU"))</f>
        <v/>
      </c>
      <c r="E71" s="8"/>
      <c r="F71" s="9">
        <f>IF(E71="","",IFERROR(VLOOKUP(E71,Services!$A$2:$D$4,2,FALSE),"SERVICE INCONNU"))</f>
        <v/>
      </c>
      <c r="G71" s="8"/>
      <c r="H71" s="8"/>
      <c r="I71" s="8"/>
      <c r="J71" s="11">
        <f>IF(E71="","",IFERROR(VLOOKUP(E71,Services!$A$2:$D$4,3,FALSE),0))</f>
        <v/>
      </c>
      <c r="K71" s="9">
        <f>IF(C71="","",IFERROR(VLOOKUP(C71,Clients!$A$2:$M$51,11,FALSE),"Non"))</f>
        <v/>
      </c>
      <c r="L71" s="12">
        <f>IF(A71="","",IF(I71&lt;&gt;"Réalisé",0,IF(E71&lt;&gt;"Sexologie",0,IF(K71&lt;&gt;"Oui",0,IF(AND(B71&gt;=Parametres!$B$2,B71&lt;=Parametres!$B$3),Parametres!$B$5,0)))))</f>
        <v/>
      </c>
      <c r="M71" s="11">
        <f>IF(A71="","",IF(I71="Réalisé",ROUND(H71*J71,2),0))</f>
        <v/>
      </c>
      <c r="N71" s="11">
        <f>IF(A71="","",ROUND(M71*L71,2))</f>
        <v/>
      </c>
      <c r="O71" s="11">
        <f>IF(A71="","",ROUND(M71-N71,2))</f>
        <v/>
      </c>
      <c r="P71" s="8"/>
      <c r="Q71" s="8"/>
      <c r="R71" s="13">
        <f>IF(A71="","",IF(I71="Réalisé",H71,0))</f>
        <v/>
      </c>
      <c r="S71" s="9">
        <f>IF(A71="","",IF(COUNTIF($A$2:$A$301,A71)&gt;1,"DOUBLON RDV",IF(COUNTIF(Clients!$A$2:$A$51,C71)&lt;&gt;1,"Client à corriger",IF(COUNTIF(Services!$A$2:$A$4,E71)&lt;&gt;1,"Service à corriger",IF(OR(NOT(ISNUMBER(B71)),G71&lt;=0,H71&lt;0,COUNTIF(ListeStatuts,I71)&lt;&gt;1,COUNTIF(ListeFactures,P71)&lt;&gt;1),"Saisie à corriger",IF(AND(I71="Réalisé",OR(H71&lt;=0,B71&gt;Parametres!$B$7)),"Réalisation à vérifier",IF(AND(P71="Émise",OR(Q71="",I71&lt;&gt;"Réalisé")),"Facture à corriger",IF(AND(Q71&lt;&gt;"",COUNTIF($Q$2:$Q$301,Q71)&gt;1),"DOUBLON FACTURE",IF(AND(I71="Réalisé",ABS(G71-H71)&gt;0.001,T71=""),"Écart heures","OK")))))))))</f>
        <v/>
      </c>
      <c r="T71" s="8"/>
    </row>
    <row r="72" spans="1:20" ht="22" customHeight="1">
      <c r="A72" s="8"/>
      <c r="B72" s="6"/>
      <c r="C72" s="8"/>
      <c r="D72" s="9">
        <f>IF(C72="","",IFERROR(VLOOKUP(C72,Clients!$A$2:$M$51,12,FALSE),"CLIENT INCONNU"))</f>
        <v/>
      </c>
      <c r="E72" s="8"/>
      <c r="F72" s="9">
        <f>IF(E72="","",IFERROR(VLOOKUP(E72,Services!$A$2:$D$4,2,FALSE),"SERVICE INCONNU"))</f>
        <v/>
      </c>
      <c r="G72" s="8"/>
      <c r="H72" s="8"/>
      <c r="I72" s="8"/>
      <c r="J72" s="11">
        <f>IF(E72="","",IFERROR(VLOOKUP(E72,Services!$A$2:$D$4,3,FALSE),0))</f>
        <v/>
      </c>
      <c r="K72" s="9">
        <f>IF(C72="","",IFERROR(VLOOKUP(C72,Clients!$A$2:$M$51,11,FALSE),"Non"))</f>
        <v/>
      </c>
      <c r="L72" s="12">
        <f>IF(A72="","",IF(I72&lt;&gt;"Réalisé",0,IF(E72&lt;&gt;"Sexologie",0,IF(K72&lt;&gt;"Oui",0,IF(AND(B72&gt;=Parametres!$B$2,B72&lt;=Parametres!$B$3),Parametres!$B$5,0)))))</f>
        <v/>
      </c>
      <c r="M72" s="11">
        <f>IF(A72="","",IF(I72="Réalisé",ROUND(H72*J72,2),0))</f>
        <v/>
      </c>
      <c r="N72" s="11">
        <f>IF(A72="","",ROUND(M72*L72,2))</f>
        <v/>
      </c>
      <c r="O72" s="11">
        <f>IF(A72="","",ROUND(M72-N72,2))</f>
        <v/>
      </c>
      <c r="P72" s="8"/>
      <c r="Q72" s="8"/>
      <c r="R72" s="13">
        <f>IF(A72="","",IF(I72="Réalisé",H72,0))</f>
        <v/>
      </c>
      <c r="S72" s="9">
        <f>IF(A72="","",IF(COUNTIF($A$2:$A$301,A72)&gt;1,"DOUBLON RDV",IF(COUNTIF(Clients!$A$2:$A$51,C72)&lt;&gt;1,"Client à corriger",IF(COUNTIF(Services!$A$2:$A$4,E72)&lt;&gt;1,"Service à corriger",IF(OR(NOT(ISNUMBER(B72)),G72&lt;=0,H72&lt;0,COUNTIF(ListeStatuts,I72)&lt;&gt;1,COUNTIF(ListeFactures,P72)&lt;&gt;1),"Saisie à corriger",IF(AND(I72="Réalisé",OR(H72&lt;=0,B72&gt;Parametres!$B$7)),"Réalisation à vérifier",IF(AND(P72="Émise",OR(Q72="",I72&lt;&gt;"Réalisé")),"Facture à corriger",IF(AND(Q72&lt;&gt;"",COUNTIF($Q$2:$Q$301,Q72)&gt;1),"DOUBLON FACTURE",IF(AND(I72="Réalisé",ABS(G72-H72)&gt;0.001,T72=""),"Écart heures","OK")))))))))</f>
        <v/>
      </c>
      <c r="T72" s="8"/>
    </row>
    <row r="73" spans="1:20" ht="22" customHeight="1">
      <c r="A73" s="8"/>
      <c r="B73" s="6"/>
      <c r="C73" s="8"/>
      <c r="D73" s="9">
        <f>IF(C73="","",IFERROR(VLOOKUP(C73,Clients!$A$2:$M$51,12,FALSE),"CLIENT INCONNU"))</f>
        <v/>
      </c>
      <c r="E73" s="8"/>
      <c r="F73" s="9">
        <f>IF(E73="","",IFERROR(VLOOKUP(E73,Services!$A$2:$D$4,2,FALSE),"SERVICE INCONNU"))</f>
        <v/>
      </c>
      <c r="G73" s="8"/>
      <c r="H73" s="8"/>
      <c r="I73" s="8"/>
      <c r="J73" s="11">
        <f>IF(E73="","",IFERROR(VLOOKUP(E73,Services!$A$2:$D$4,3,FALSE),0))</f>
        <v/>
      </c>
      <c r="K73" s="9">
        <f>IF(C73="","",IFERROR(VLOOKUP(C73,Clients!$A$2:$M$51,11,FALSE),"Non"))</f>
        <v/>
      </c>
      <c r="L73" s="12">
        <f>IF(A73="","",IF(I73&lt;&gt;"Réalisé",0,IF(E73&lt;&gt;"Sexologie",0,IF(K73&lt;&gt;"Oui",0,IF(AND(B73&gt;=Parametres!$B$2,B73&lt;=Parametres!$B$3),Parametres!$B$5,0)))))</f>
        <v/>
      </c>
      <c r="M73" s="11">
        <f>IF(A73="","",IF(I73="Réalisé",ROUND(H73*J73,2),0))</f>
        <v/>
      </c>
      <c r="N73" s="11">
        <f>IF(A73="","",ROUND(M73*L73,2))</f>
        <v/>
      </c>
      <c r="O73" s="11">
        <f>IF(A73="","",ROUND(M73-N73,2))</f>
        <v/>
      </c>
      <c r="P73" s="8"/>
      <c r="Q73" s="8"/>
      <c r="R73" s="13">
        <f>IF(A73="","",IF(I73="Réalisé",H73,0))</f>
        <v/>
      </c>
      <c r="S73" s="9">
        <f>IF(A73="","",IF(COUNTIF($A$2:$A$301,A73)&gt;1,"DOUBLON RDV",IF(COUNTIF(Clients!$A$2:$A$51,C73)&lt;&gt;1,"Client à corriger",IF(COUNTIF(Services!$A$2:$A$4,E73)&lt;&gt;1,"Service à corriger",IF(OR(NOT(ISNUMBER(B73)),G73&lt;=0,H73&lt;0,COUNTIF(ListeStatuts,I73)&lt;&gt;1,COUNTIF(ListeFactures,P73)&lt;&gt;1),"Saisie à corriger",IF(AND(I73="Réalisé",OR(H73&lt;=0,B73&gt;Parametres!$B$7)),"Réalisation à vérifier",IF(AND(P73="Émise",OR(Q73="",I73&lt;&gt;"Réalisé")),"Facture à corriger",IF(AND(Q73&lt;&gt;"",COUNTIF($Q$2:$Q$301,Q73)&gt;1),"DOUBLON FACTURE",IF(AND(I73="Réalisé",ABS(G73-H73)&gt;0.001,T73=""),"Écart heures","OK")))))))))</f>
        <v/>
      </c>
      <c r="T73" s="8"/>
    </row>
    <row r="74" spans="1:20" ht="22" customHeight="1">
      <c r="A74" s="8"/>
      <c r="B74" s="6"/>
      <c r="C74" s="8"/>
      <c r="D74" s="9">
        <f>IF(C74="","",IFERROR(VLOOKUP(C74,Clients!$A$2:$M$51,12,FALSE),"CLIENT INCONNU"))</f>
        <v/>
      </c>
      <c r="E74" s="8"/>
      <c r="F74" s="9">
        <f>IF(E74="","",IFERROR(VLOOKUP(E74,Services!$A$2:$D$4,2,FALSE),"SERVICE INCONNU"))</f>
        <v/>
      </c>
      <c r="G74" s="8"/>
      <c r="H74" s="8"/>
      <c r="I74" s="8"/>
      <c r="J74" s="11">
        <f>IF(E74="","",IFERROR(VLOOKUP(E74,Services!$A$2:$D$4,3,FALSE),0))</f>
        <v/>
      </c>
      <c r="K74" s="9">
        <f>IF(C74="","",IFERROR(VLOOKUP(C74,Clients!$A$2:$M$51,11,FALSE),"Non"))</f>
        <v/>
      </c>
      <c r="L74" s="12">
        <f>IF(A74="","",IF(I74&lt;&gt;"Réalisé",0,IF(E74&lt;&gt;"Sexologie",0,IF(K74&lt;&gt;"Oui",0,IF(AND(B74&gt;=Parametres!$B$2,B74&lt;=Parametres!$B$3),Parametres!$B$5,0)))))</f>
        <v/>
      </c>
      <c r="M74" s="11">
        <f>IF(A74="","",IF(I74="Réalisé",ROUND(H74*J74,2),0))</f>
        <v/>
      </c>
      <c r="N74" s="11">
        <f>IF(A74="","",ROUND(M74*L74,2))</f>
        <v/>
      </c>
      <c r="O74" s="11">
        <f>IF(A74="","",ROUND(M74-N74,2))</f>
        <v/>
      </c>
      <c r="P74" s="8"/>
      <c r="Q74" s="8"/>
      <c r="R74" s="13">
        <f>IF(A74="","",IF(I74="Réalisé",H74,0))</f>
        <v/>
      </c>
      <c r="S74" s="9">
        <f>IF(A74="","",IF(COUNTIF($A$2:$A$301,A74)&gt;1,"DOUBLON RDV",IF(COUNTIF(Clients!$A$2:$A$51,C74)&lt;&gt;1,"Client à corriger",IF(COUNTIF(Services!$A$2:$A$4,E74)&lt;&gt;1,"Service à corriger",IF(OR(NOT(ISNUMBER(B74)),G74&lt;=0,H74&lt;0,COUNTIF(ListeStatuts,I74)&lt;&gt;1,COUNTIF(ListeFactures,P74)&lt;&gt;1),"Saisie à corriger",IF(AND(I74="Réalisé",OR(H74&lt;=0,B74&gt;Parametres!$B$7)),"Réalisation à vérifier",IF(AND(P74="Émise",OR(Q74="",I74&lt;&gt;"Réalisé")),"Facture à corriger",IF(AND(Q74&lt;&gt;"",COUNTIF($Q$2:$Q$301,Q74)&gt;1),"DOUBLON FACTURE",IF(AND(I74="Réalisé",ABS(G74-H74)&gt;0.001,T74=""),"Écart heures","OK")))))))))</f>
        <v/>
      </c>
      <c r="T74" s="8"/>
    </row>
    <row r="75" spans="1:20" ht="22" customHeight="1">
      <c r="A75" s="8"/>
      <c r="B75" s="6"/>
      <c r="C75" s="8"/>
      <c r="D75" s="9">
        <f>IF(C75="","",IFERROR(VLOOKUP(C75,Clients!$A$2:$M$51,12,FALSE),"CLIENT INCONNU"))</f>
        <v/>
      </c>
      <c r="E75" s="8"/>
      <c r="F75" s="9">
        <f>IF(E75="","",IFERROR(VLOOKUP(E75,Services!$A$2:$D$4,2,FALSE),"SERVICE INCONNU"))</f>
        <v/>
      </c>
      <c r="G75" s="8"/>
      <c r="H75" s="8"/>
      <c r="I75" s="8"/>
      <c r="J75" s="11">
        <f>IF(E75="","",IFERROR(VLOOKUP(E75,Services!$A$2:$D$4,3,FALSE),0))</f>
        <v/>
      </c>
      <c r="K75" s="9">
        <f>IF(C75="","",IFERROR(VLOOKUP(C75,Clients!$A$2:$M$51,11,FALSE),"Non"))</f>
        <v/>
      </c>
      <c r="L75" s="12">
        <f>IF(A75="","",IF(I75&lt;&gt;"Réalisé",0,IF(E75&lt;&gt;"Sexologie",0,IF(K75&lt;&gt;"Oui",0,IF(AND(B75&gt;=Parametres!$B$2,B75&lt;=Parametres!$B$3),Parametres!$B$5,0)))))</f>
        <v/>
      </c>
      <c r="M75" s="11">
        <f>IF(A75="","",IF(I75="Réalisé",ROUND(H75*J75,2),0))</f>
        <v/>
      </c>
      <c r="N75" s="11">
        <f>IF(A75="","",ROUND(M75*L75,2))</f>
        <v/>
      </c>
      <c r="O75" s="11">
        <f>IF(A75="","",ROUND(M75-N75,2))</f>
        <v/>
      </c>
      <c r="P75" s="8"/>
      <c r="Q75" s="8"/>
      <c r="R75" s="13">
        <f>IF(A75="","",IF(I75="Réalisé",H75,0))</f>
        <v/>
      </c>
      <c r="S75" s="9">
        <f>IF(A75="","",IF(COUNTIF($A$2:$A$301,A75)&gt;1,"DOUBLON RDV",IF(COUNTIF(Clients!$A$2:$A$51,C75)&lt;&gt;1,"Client à corriger",IF(COUNTIF(Services!$A$2:$A$4,E75)&lt;&gt;1,"Service à corriger",IF(OR(NOT(ISNUMBER(B75)),G75&lt;=0,H75&lt;0,COUNTIF(ListeStatuts,I75)&lt;&gt;1,COUNTIF(ListeFactures,P75)&lt;&gt;1),"Saisie à corriger",IF(AND(I75="Réalisé",OR(H75&lt;=0,B75&gt;Parametres!$B$7)),"Réalisation à vérifier",IF(AND(P75="Émise",OR(Q75="",I75&lt;&gt;"Réalisé")),"Facture à corriger",IF(AND(Q75&lt;&gt;"",COUNTIF($Q$2:$Q$301,Q75)&gt;1),"DOUBLON FACTURE",IF(AND(I75="Réalisé",ABS(G75-H75)&gt;0.001,T75=""),"Écart heures","OK")))))))))</f>
        <v/>
      </c>
      <c r="T75" s="8"/>
    </row>
    <row r="76" spans="1:20" ht="22" customHeight="1">
      <c r="A76" s="8"/>
      <c r="B76" s="6"/>
      <c r="C76" s="8"/>
      <c r="D76" s="9">
        <f>IF(C76="","",IFERROR(VLOOKUP(C76,Clients!$A$2:$M$51,12,FALSE),"CLIENT INCONNU"))</f>
        <v/>
      </c>
      <c r="E76" s="8"/>
      <c r="F76" s="9">
        <f>IF(E76="","",IFERROR(VLOOKUP(E76,Services!$A$2:$D$4,2,FALSE),"SERVICE INCONNU"))</f>
        <v/>
      </c>
      <c r="G76" s="8"/>
      <c r="H76" s="8"/>
      <c r="I76" s="8"/>
      <c r="J76" s="11">
        <f>IF(E76="","",IFERROR(VLOOKUP(E76,Services!$A$2:$D$4,3,FALSE),0))</f>
        <v/>
      </c>
      <c r="K76" s="9">
        <f>IF(C76="","",IFERROR(VLOOKUP(C76,Clients!$A$2:$M$51,11,FALSE),"Non"))</f>
        <v/>
      </c>
      <c r="L76" s="12">
        <f>IF(A76="","",IF(I76&lt;&gt;"Réalisé",0,IF(E76&lt;&gt;"Sexologie",0,IF(K76&lt;&gt;"Oui",0,IF(AND(B76&gt;=Parametres!$B$2,B76&lt;=Parametres!$B$3),Parametres!$B$5,0)))))</f>
        <v/>
      </c>
      <c r="M76" s="11">
        <f>IF(A76="","",IF(I76="Réalisé",ROUND(H76*J76,2),0))</f>
        <v/>
      </c>
      <c r="N76" s="11">
        <f>IF(A76="","",ROUND(M76*L76,2))</f>
        <v/>
      </c>
      <c r="O76" s="11">
        <f>IF(A76="","",ROUND(M76-N76,2))</f>
        <v/>
      </c>
      <c r="P76" s="8"/>
      <c r="Q76" s="8"/>
      <c r="R76" s="13">
        <f>IF(A76="","",IF(I76="Réalisé",H76,0))</f>
        <v/>
      </c>
      <c r="S76" s="9">
        <f>IF(A76="","",IF(COUNTIF($A$2:$A$301,A76)&gt;1,"DOUBLON RDV",IF(COUNTIF(Clients!$A$2:$A$51,C76)&lt;&gt;1,"Client à corriger",IF(COUNTIF(Services!$A$2:$A$4,E76)&lt;&gt;1,"Service à corriger",IF(OR(NOT(ISNUMBER(B76)),G76&lt;=0,H76&lt;0,COUNTIF(ListeStatuts,I76)&lt;&gt;1,COUNTIF(ListeFactures,P76)&lt;&gt;1),"Saisie à corriger",IF(AND(I76="Réalisé",OR(H76&lt;=0,B76&gt;Parametres!$B$7)),"Réalisation à vérifier",IF(AND(P76="Émise",OR(Q76="",I76&lt;&gt;"Réalisé")),"Facture à corriger",IF(AND(Q76&lt;&gt;"",COUNTIF($Q$2:$Q$301,Q76)&gt;1),"DOUBLON FACTURE",IF(AND(I76="Réalisé",ABS(G76-H76)&gt;0.001,T76=""),"Écart heures","OK")))))))))</f>
        <v/>
      </c>
      <c r="T76" s="8"/>
    </row>
    <row r="77" spans="1:20" ht="22" customHeight="1">
      <c r="A77" s="8"/>
      <c r="B77" s="6"/>
      <c r="C77" s="8"/>
      <c r="D77" s="9">
        <f>IF(C77="","",IFERROR(VLOOKUP(C77,Clients!$A$2:$M$51,12,FALSE),"CLIENT INCONNU"))</f>
        <v/>
      </c>
      <c r="E77" s="8"/>
      <c r="F77" s="9">
        <f>IF(E77="","",IFERROR(VLOOKUP(E77,Services!$A$2:$D$4,2,FALSE),"SERVICE INCONNU"))</f>
        <v/>
      </c>
      <c r="G77" s="8"/>
      <c r="H77" s="8"/>
      <c r="I77" s="8"/>
      <c r="J77" s="11">
        <f>IF(E77="","",IFERROR(VLOOKUP(E77,Services!$A$2:$D$4,3,FALSE),0))</f>
        <v/>
      </c>
      <c r="K77" s="9">
        <f>IF(C77="","",IFERROR(VLOOKUP(C77,Clients!$A$2:$M$51,11,FALSE),"Non"))</f>
        <v/>
      </c>
      <c r="L77" s="12">
        <f>IF(A77="","",IF(I77&lt;&gt;"Réalisé",0,IF(E77&lt;&gt;"Sexologie",0,IF(K77&lt;&gt;"Oui",0,IF(AND(B77&gt;=Parametres!$B$2,B77&lt;=Parametres!$B$3),Parametres!$B$5,0)))))</f>
        <v/>
      </c>
      <c r="M77" s="11">
        <f>IF(A77="","",IF(I77="Réalisé",ROUND(H77*J77,2),0))</f>
        <v/>
      </c>
      <c r="N77" s="11">
        <f>IF(A77="","",ROUND(M77*L77,2))</f>
        <v/>
      </c>
      <c r="O77" s="11">
        <f>IF(A77="","",ROUND(M77-N77,2))</f>
        <v/>
      </c>
      <c r="P77" s="8"/>
      <c r="Q77" s="8"/>
      <c r="R77" s="13">
        <f>IF(A77="","",IF(I77="Réalisé",H77,0))</f>
        <v/>
      </c>
      <c r="S77" s="9">
        <f>IF(A77="","",IF(COUNTIF($A$2:$A$301,A77)&gt;1,"DOUBLON RDV",IF(COUNTIF(Clients!$A$2:$A$51,C77)&lt;&gt;1,"Client à corriger",IF(COUNTIF(Services!$A$2:$A$4,E77)&lt;&gt;1,"Service à corriger",IF(OR(NOT(ISNUMBER(B77)),G77&lt;=0,H77&lt;0,COUNTIF(ListeStatuts,I77)&lt;&gt;1,COUNTIF(ListeFactures,P77)&lt;&gt;1),"Saisie à corriger",IF(AND(I77="Réalisé",OR(H77&lt;=0,B77&gt;Parametres!$B$7)),"Réalisation à vérifier",IF(AND(P77="Émise",OR(Q77="",I77&lt;&gt;"Réalisé")),"Facture à corriger",IF(AND(Q77&lt;&gt;"",COUNTIF($Q$2:$Q$301,Q77)&gt;1),"DOUBLON FACTURE",IF(AND(I77="Réalisé",ABS(G77-H77)&gt;0.001,T77=""),"Écart heures","OK")))))))))</f>
        <v/>
      </c>
      <c r="T77" s="8"/>
    </row>
    <row r="78" spans="1:20" ht="22" customHeight="1">
      <c r="A78" s="8"/>
      <c r="B78" s="6"/>
      <c r="C78" s="8"/>
      <c r="D78" s="9">
        <f>IF(C78="","",IFERROR(VLOOKUP(C78,Clients!$A$2:$M$51,12,FALSE),"CLIENT INCONNU"))</f>
        <v/>
      </c>
      <c r="E78" s="8"/>
      <c r="F78" s="9">
        <f>IF(E78="","",IFERROR(VLOOKUP(E78,Services!$A$2:$D$4,2,FALSE),"SERVICE INCONNU"))</f>
        <v/>
      </c>
      <c r="G78" s="8"/>
      <c r="H78" s="8"/>
      <c r="I78" s="8"/>
      <c r="J78" s="11">
        <f>IF(E78="","",IFERROR(VLOOKUP(E78,Services!$A$2:$D$4,3,FALSE),0))</f>
        <v/>
      </c>
      <c r="K78" s="9">
        <f>IF(C78="","",IFERROR(VLOOKUP(C78,Clients!$A$2:$M$51,11,FALSE),"Non"))</f>
        <v/>
      </c>
      <c r="L78" s="12">
        <f>IF(A78="","",IF(I78&lt;&gt;"Réalisé",0,IF(E78&lt;&gt;"Sexologie",0,IF(K78&lt;&gt;"Oui",0,IF(AND(B78&gt;=Parametres!$B$2,B78&lt;=Parametres!$B$3),Parametres!$B$5,0)))))</f>
        <v/>
      </c>
      <c r="M78" s="11">
        <f>IF(A78="","",IF(I78="Réalisé",ROUND(H78*J78,2),0))</f>
        <v/>
      </c>
      <c r="N78" s="11">
        <f>IF(A78="","",ROUND(M78*L78,2))</f>
        <v/>
      </c>
      <c r="O78" s="11">
        <f>IF(A78="","",ROUND(M78-N78,2))</f>
        <v/>
      </c>
      <c r="P78" s="8"/>
      <c r="Q78" s="8"/>
      <c r="R78" s="13">
        <f>IF(A78="","",IF(I78="Réalisé",H78,0))</f>
        <v/>
      </c>
      <c r="S78" s="9">
        <f>IF(A78="","",IF(COUNTIF($A$2:$A$301,A78)&gt;1,"DOUBLON RDV",IF(COUNTIF(Clients!$A$2:$A$51,C78)&lt;&gt;1,"Client à corriger",IF(COUNTIF(Services!$A$2:$A$4,E78)&lt;&gt;1,"Service à corriger",IF(OR(NOT(ISNUMBER(B78)),G78&lt;=0,H78&lt;0,COUNTIF(ListeStatuts,I78)&lt;&gt;1,COUNTIF(ListeFactures,P78)&lt;&gt;1),"Saisie à corriger",IF(AND(I78="Réalisé",OR(H78&lt;=0,B78&gt;Parametres!$B$7)),"Réalisation à vérifier",IF(AND(P78="Émise",OR(Q78="",I78&lt;&gt;"Réalisé")),"Facture à corriger",IF(AND(Q78&lt;&gt;"",COUNTIF($Q$2:$Q$301,Q78)&gt;1),"DOUBLON FACTURE",IF(AND(I78="Réalisé",ABS(G78-H78)&gt;0.001,T78=""),"Écart heures","OK")))))))))</f>
        <v/>
      </c>
      <c r="T78" s="8"/>
    </row>
    <row r="79" spans="1:20" ht="22" customHeight="1">
      <c r="A79" s="8"/>
      <c r="B79" s="6"/>
      <c r="C79" s="8"/>
      <c r="D79" s="9">
        <f>IF(C79="","",IFERROR(VLOOKUP(C79,Clients!$A$2:$M$51,12,FALSE),"CLIENT INCONNU"))</f>
        <v/>
      </c>
      <c r="E79" s="8"/>
      <c r="F79" s="9">
        <f>IF(E79="","",IFERROR(VLOOKUP(E79,Services!$A$2:$D$4,2,FALSE),"SERVICE INCONNU"))</f>
        <v/>
      </c>
      <c r="G79" s="8"/>
      <c r="H79" s="8"/>
      <c r="I79" s="8"/>
      <c r="J79" s="11">
        <f>IF(E79="","",IFERROR(VLOOKUP(E79,Services!$A$2:$D$4,3,FALSE),0))</f>
        <v/>
      </c>
      <c r="K79" s="9">
        <f>IF(C79="","",IFERROR(VLOOKUP(C79,Clients!$A$2:$M$51,11,FALSE),"Non"))</f>
        <v/>
      </c>
      <c r="L79" s="12">
        <f>IF(A79="","",IF(I79&lt;&gt;"Réalisé",0,IF(E79&lt;&gt;"Sexologie",0,IF(K79&lt;&gt;"Oui",0,IF(AND(B79&gt;=Parametres!$B$2,B79&lt;=Parametres!$B$3),Parametres!$B$5,0)))))</f>
        <v/>
      </c>
      <c r="M79" s="11">
        <f>IF(A79="","",IF(I79="Réalisé",ROUND(H79*J79,2),0))</f>
        <v/>
      </c>
      <c r="N79" s="11">
        <f>IF(A79="","",ROUND(M79*L79,2))</f>
        <v/>
      </c>
      <c r="O79" s="11">
        <f>IF(A79="","",ROUND(M79-N79,2))</f>
        <v/>
      </c>
      <c r="P79" s="8"/>
      <c r="Q79" s="8"/>
      <c r="R79" s="13">
        <f>IF(A79="","",IF(I79="Réalisé",H79,0))</f>
        <v/>
      </c>
      <c r="S79" s="9">
        <f>IF(A79="","",IF(COUNTIF($A$2:$A$301,A79)&gt;1,"DOUBLON RDV",IF(COUNTIF(Clients!$A$2:$A$51,C79)&lt;&gt;1,"Client à corriger",IF(COUNTIF(Services!$A$2:$A$4,E79)&lt;&gt;1,"Service à corriger",IF(OR(NOT(ISNUMBER(B79)),G79&lt;=0,H79&lt;0,COUNTIF(ListeStatuts,I79)&lt;&gt;1,COUNTIF(ListeFactures,P79)&lt;&gt;1),"Saisie à corriger",IF(AND(I79="Réalisé",OR(H79&lt;=0,B79&gt;Parametres!$B$7)),"Réalisation à vérifier",IF(AND(P79="Émise",OR(Q79="",I79&lt;&gt;"Réalisé")),"Facture à corriger",IF(AND(Q79&lt;&gt;"",COUNTIF($Q$2:$Q$301,Q79)&gt;1),"DOUBLON FACTURE",IF(AND(I79="Réalisé",ABS(G79-H79)&gt;0.001,T79=""),"Écart heures","OK")))))))))</f>
        <v/>
      </c>
      <c r="T79" s="8"/>
    </row>
    <row r="80" spans="1:20" ht="22" customHeight="1">
      <c r="A80" s="8"/>
      <c r="B80" s="6"/>
      <c r="C80" s="8"/>
      <c r="D80" s="9">
        <f>IF(C80="","",IFERROR(VLOOKUP(C80,Clients!$A$2:$M$51,12,FALSE),"CLIENT INCONNU"))</f>
        <v/>
      </c>
      <c r="E80" s="8"/>
      <c r="F80" s="9">
        <f>IF(E80="","",IFERROR(VLOOKUP(E80,Services!$A$2:$D$4,2,FALSE),"SERVICE INCONNU"))</f>
        <v/>
      </c>
      <c r="G80" s="8"/>
      <c r="H80" s="8"/>
      <c r="I80" s="8"/>
      <c r="J80" s="11">
        <f>IF(E80="","",IFERROR(VLOOKUP(E80,Services!$A$2:$D$4,3,FALSE),0))</f>
        <v/>
      </c>
      <c r="K80" s="9">
        <f>IF(C80="","",IFERROR(VLOOKUP(C80,Clients!$A$2:$M$51,11,FALSE),"Non"))</f>
        <v/>
      </c>
      <c r="L80" s="12">
        <f>IF(A80="","",IF(I80&lt;&gt;"Réalisé",0,IF(E80&lt;&gt;"Sexologie",0,IF(K80&lt;&gt;"Oui",0,IF(AND(B80&gt;=Parametres!$B$2,B80&lt;=Parametres!$B$3),Parametres!$B$5,0)))))</f>
        <v/>
      </c>
      <c r="M80" s="11">
        <f>IF(A80="","",IF(I80="Réalisé",ROUND(H80*J80,2),0))</f>
        <v/>
      </c>
      <c r="N80" s="11">
        <f>IF(A80="","",ROUND(M80*L80,2))</f>
        <v/>
      </c>
      <c r="O80" s="11">
        <f>IF(A80="","",ROUND(M80-N80,2))</f>
        <v/>
      </c>
      <c r="P80" s="8"/>
      <c r="Q80" s="8"/>
      <c r="R80" s="13">
        <f>IF(A80="","",IF(I80="Réalisé",H80,0))</f>
        <v/>
      </c>
      <c r="S80" s="9">
        <f>IF(A80="","",IF(COUNTIF($A$2:$A$301,A80)&gt;1,"DOUBLON RDV",IF(COUNTIF(Clients!$A$2:$A$51,C80)&lt;&gt;1,"Client à corriger",IF(COUNTIF(Services!$A$2:$A$4,E80)&lt;&gt;1,"Service à corriger",IF(OR(NOT(ISNUMBER(B80)),G80&lt;=0,H80&lt;0,COUNTIF(ListeStatuts,I80)&lt;&gt;1,COUNTIF(ListeFactures,P80)&lt;&gt;1),"Saisie à corriger",IF(AND(I80="Réalisé",OR(H80&lt;=0,B80&gt;Parametres!$B$7)),"Réalisation à vérifier",IF(AND(P80="Émise",OR(Q80="",I80&lt;&gt;"Réalisé")),"Facture à corriger",IF(AND(Q80&lt;&gt;"",COUNTIF($Q$2:$Q$301,Q80)&gt;1),"DOUBLON FACTURE",IF(AND(I80="Réalisé",ABS(G80-H80)&gt;0.001,T80=""),"Écart heures","OK")))))))))</f>
        <v/>
      </c>
      <c r="T80" s="8"/>
    </row>
    <row r="81" spans="1:20" ht="22" customHeight="1">
      <c r="A81" s="8"/>
      <c r="B81" s="6"/>
      <c r="C81" s="8"/>
      <c r="D81" s="9">
        <f>IF(C81="","",IFERROR(VLOOKUP(C81,Clients!$A$2:$M$51,12,FALSE),"CLIENT INCONNU"))</f>
        <v/>
      </c>
      <c r="E81" s="8"/>
      <c r="F81" s="9">
        <f>IF(E81="","",IFERROR(VLOOKUP(E81,Services!$A$2:$D$4,2,FALSE),"SERVICE INCONNU"))</f>
        <v/>
      </c>
      <c r="G81" s="8"/>
      <c r="H81" s="8"/>
      <c r="I81" s="8"/>
      <c r="J81" s="11">
        <f>IF(E81="","",IFERROR(VLOOKUP(E81,Services!$A$2:$D$4,3,FALSE),0))</f>
        <v/>
      </c>
      <c r="K81" s="9">
        <f>IF(C81="","",IFERROR(VLOOKUP(C81,Clients!$A$2:$M$51,11,FALSE),"Non"))</f>
        <v/>
      </c>
      <c r="L81" s="12">
        <f>IF(A81="","",IF(I81&lt;&gt;"Réalisé",0,IF(E81&lt;&gt;"Sexologie",0,IF(K81&lt;&gt;"Oui",0,IF(AND(B81&gt;=Parametres!$B$2,B81&lt;=Parametres!$B$3),Parametres!$B$5,0)))))</f>
        <v/>
      </c>
      <c r="M81" s="11">
        <f>IF(A81="","",IF(I81="Réalisé",ROUND(H81*J81,2),0))</f>
        <v/>
      </c>
      <c r="N81" s="11">
        <f>IF(A81="","",ROUND(M81*L81,2))</f>
        <v/>
      </c>
      <c r="O81" s="11">
        <f>IF(A81="","",ROUND(M81-N81,2))</f>
        <v/>
      </c>
      <c r="P81" s="8"/>
      <c r="Q81" s="8"/>
      <c r="R81" s="13">
        <f>IF(A81="","",IF(I81="Réalisé",H81,0))</f>
        <v/>
      </c>
      <c r="S81" s="9">
        <f>IF(A81="","",IF(COUNTIF($A$2:$A$301,A81)&gt;1,"DOUBLON RDV",IF(COUNTIF(Clients!$A$2:$A$51,C81)&lt;&gt;1,"Client à corriger",IF(COUNTIF(Services!$A$2:$A$4,E81)&lt;&gt;1,"Service à corriger",IF(OR(NOT(ISNUMBER(B81)),G81&lt;=0,H81&lt;0,COUNTIF(ListeStatuts,I81)&lt;&gt;1,COUNTIF(ListeFactures,P81)&lt;&gt;1),"Saisie à corriger",IF(AND(I81="Réalisé",OR(H81&lt;=0,B81&gt;Parametres!$B$7)),"Réalisation à vérifier",IF(AND(P81="Émise",OR(Q81="",I81&lt;&gt;"Réalisé")),"Facture à corriger",IF(AND(Q81&lt;&gt;"",COUNTIF($Q$2:$Q$301,Q81)&gt;1),"DOUBLON FACTURE",IF(AND(I81="Réalisé",ABS(G81-H81)&gt;0.001,T81=""),"Écart heures","OK")))))))))</f>
        <v/>
      </c>
      <c r="T81" s="8"/>
    </row>
    <row r="82" spans="1:20" ht="22" customHeight="1">
      <c r="A82" s="8"/>
      <c r="B82" s="6"/>
      <c r="C82" s="8"/>
      <c r="D82" s="9">
        <f>IF(C82="","",IFERROR(VLOOKUP(C82,Clients!$A$2:$M$51,12,FALSE),"CLIENT INCONNU"))</f>
        <v/>
      </c>
      <c r="E82" s="8"/>
      <c r="F82" s="9">
        <f>IF(E82="","",IFERROR(VLOOKUP(E82,Services!$A$2:$D$4,2,FALSE),"SERVICE INCONNU"))</f>
        <v/>
      </c>
      <c r="G82" s="8"/>
      <c r="H82" s="8"/>
      <c r="I82" s="8"/>
      <c r="J82" s="11">
        <f>IF(E82="","",IFERROR(VLOOKUP(E82,Services!$A$2:$D$4,3,FALSE),0))</f>
        <v/>
      </c>
      <c r="K82" s="9">
        <f>IF(C82="","",IFERROR(VLOOKUP(C82,Clients!$A$2:$M$51,11,FALSE),"Non"))</f>
        <v/>
      </c>
      <c r="L82" s="12">
        <f>IF(A82="","",IF(I82&lt;&gt;"Réalisé",0,IF(E82&lt;&gt;"Sexologie",0,IF(K82&lt;&gt;"Oui",0,IF(AND(B82&gt;=Parametres!$B$2,B82&lt;=Parametres!$B$3),Parametres!$B$5,0)))))</f>
        <v/>
      </c>
      <c r="M82" s="11">
        <f>IF(A82="","",IF(I82="Réalisé",ROUND(H82*J82,2),0))</f>
        <v/>
      </c>
      <c r="N82" s="11">
        <f>IF(A82="","",ROUND(M82*L82,2))</f>
        <v/>
      </c>
      <c r="O82" s="11">
        <f>IF(A82="","",ROUND(M82-N82,2))</f>
        <v/>
      </c>
      <c r="P82" s="8"/>
      <c r="Q82" s="8"/>
      <c r="R82" s="13">
        <f>IF(A82="","",IF(I82="Réalisé",H82,0))</f>
        <v/>
      </c>
      <c r="S82" s="9">
        <f>IF(A82="","",IF(COUNTIF($A$2:$A$301,A82)&gt;1,"DOUBLON RDV",IF(COUNTIF(Clients!$A$2:$A$51,C82)&lt;&gt;1,"Client à corriger",IF(COUNTIF(Services!$A$2:$A$4,E82)&lt;&gt;1,"Service à corriger",IF(OR(NOT(ISNUMBER(B82)),G82&lt;=0,H82&lt;0,COUNTIF(ListeStatuts,I82)&lt;&gt;1,COUNTIF(ListeFactures,P82)&lt;&gt;1),"Saisie à corriger",IF(AND(I82="Réalisé",OR(H82&lt;=0,B82&gt;Parametres!$B$7)),"Réalisation à vérifier",IF(AND(P82="Émise",OR(Q82="",I82&lt;&gt;"Réalisé")),"Facture à corriger",IF(AND(Q82&lt;&gt;"",COUNTIF($Q$2:$Q$301,Q82)&gt;1),"DOUBLON FACTURE",IF(AND(I82="Réalisé",ABS(G82-H82)&gt;0.001,T82=""),"Écart heures","OK")))))))))</f>
        <v/>
      </c>
      <c r="T82" s="8"/>
    </row>
    <row r="83" spans="1:20" ht="22" customHeight="1">
      <c r="A83" s="8"/>
      <c r="B83" s="6"/>
      <c r="C83" s="8"/>
      <c r="D83" s="9">
        <f>IF(C83="","",IFERROR(VLOOKUP(C83,Clients!$A$2:$M$51,12,FALSE),"CLIENT INCONNU"))</f>
        <v/>
      </c>
      <c r="E83" s="8"/>
      <c r="F83" s="9">
        <f>IF(E83="","",IFERROR(VLOOKUP(E83,Services!$A$2:$D$4,2,FALSE),"SERVICE INCONNU"))</f>
        <v/>
      </c>
      <c r="G83" s="8"/>
      <c r="H83" s="8"/>
      <c r="I83" s="8"/>
      <c r="J83" s="11">
        <f>IF(E83="","",IFERROR(VLOOKUP(E83,Services!$A$2:$D$4,3,FALSE),0))</f>
        <v/>
      </c>
      <c r="K83" s="9">
        <f>IF(C83="","",IFERROR(VLOOKUP(C83,Clients!$A$2:$M$51,11,FALSE),"Non"))</f>
        <v/>
      </c>
      <c r="L83" s="12">
        <f>IF(A83="","",IF(I83&lt;&gt;"Réalisé",0,IF(E83&lt;&gt;"Sexologie",0,IF(K83&lt;&gt;"Oui",0,IF(AND(B83&gt;=Parametres!$B$2,B83&lt;=Parametres!$B$3),Parametres!$B$5,0)))))</f>
        <v/>
      </c>
      <c r="M83" s="11">
        <f>IF(A83="","",IF(I83="Réalisé",ROUND(H83*J83,2),0))</f>
        <v/>
      </c>
      <c r="N83" s="11">
        <f>IF(A83="","",ROUND(M83*L83,2))</f>
        <v/>
      </c>
      <c r="O83" s="11">
        <f>IF(A83="","",ROUND(M83-N83,2))</f>
        <v/>
      </c>
      <c r="P83" s="8"/>
      <c r="Q83" s="8"/>
      <c r="R83" s="13">
        <f>IF(A83="","",IF(I83="Réalisé",H83,0))</f>
        <v/>
      </c>
      <c r="S83" s="9">
        <f>IF(A83="","",IF(COUNTIF($A$2:$A$301,A83)&gt;1,"DOUBLON RDV",IF(COUNTIF(Clients!$A$2:$A$51,C83)&lt;&gt;1,"Client à corriger",IF(COUNTIF(Services!$A$2:$A$4,E83)&lt;&gt;1,"Service à corriger",IF(OR(NOT(ISNUMBER(B83)),G83&lt;=0,H83&lt;0,COUNTIF(ListeStatuts,I83)&lt;&gt;1,COUNTIF(ListeFactures,P83)&lt;&gt;1),"Saisie à corriger",IF(AND(I83="Réalisé",OR(H83&lt;=0,B83&gt;Parametres!$B$7)),"Réalisation à vérifier",IF(AND(P83="Émise",OR(Q83="",I83&lt;&gt;"Réalisé")),"Facture à corriger",IF(AND(Q83&lt;&gt;"",COUNTIF($Q$2:$Q$301,Q83)&gt;1),"DOUBLON FACTURE",IF(AND(I83="Réalisé",ABS(G83-H83)&gt;0.001,T83=""),"Écart heures","OK")))))))))</f>
        <v/>
      </c>
      <c r="T83" s="8"/>
    </row>
    <row r="84" spans="1:20" ht="22" customHeight="1">
      <c r="A84" s="8"/>
      <c r="B84" s="6"/>
      <c r="C84" s="8"/>
      <c r="D84" s="9">
        <f>IF(C84="","",IFERROR(VLOOKUP(C84,Clients!$A$2:$M$51,12,FALSE),"CLIENT INCONNU"))</f>
        <v/>
      </c>
      <c r="E84" s="8"/>
      <c r="F84" s="9">
        <f>IF(E84="","",IFERROR(VLOOKUP(E84,Services!$A$2:$D$4,2,FALSE),"SERVICE INCONNU"))</f>
        <v/>
      </c>
      <c r="G84" s="8"/>
      <c r="H84" s="8"/>
      <c r="I84" s="8"/>
      <c r="J84" s="11">
        <f>IF(E84="","",IFERROR(VLOOKUP(E84,Services!$A$2:$D$4,3,FALSE),0))</f>
        <v/>
      </c>
      <c r="K84" s="9">
        <f>IF(C84="","",IFERROR(VLOOKUP(C84,Clients!$A$2:$M$51,11,FALSE),"Non"))</f>
        <v/>
      </c>
      <c r="L84" s="12">
        <f>IF(A84="","",IF(I84&lt;&gt;"Réalisé",0,IF(E84&lt;&gt;"Sexologie",0,IF(K84&lt;&gt;"Oui",0,IF(AND(B84&gt;=Parametres!$B$2,B84&lt;=Parametres!$B$3),Parametres!$B$5,0)))))</f>
        <v/>
      </c>
      <c r="M84" s="11">
        <f>IF(A84="","",IF(I84="Réalisé",ROUND(H84*J84,2),0))</f>
        <v/>
      </c>
      <c r="N84" s="11">
        <f>IF(A84="","",ROUND(M84*L84,2))</f>
        <v/>
      </c>
      <c r="O84" s="11">
        <f>IF(A84="","",ROUND(M84-N84,2))</f>
        <v/>
      </c>
      <c r="P84" s="8"/>
      <c r="Q84" s="8"/>
      <c r="R84" s="13">
        <f>IF(A84="","",IF(I84="Réalisé",H84,0))</f>
        <v/>
      </c>
      <c r="S84" s="9">
        <f>IF(A84="","",IF(COUNTIF($A$2:$A$301,A84)&gt;1,"DOUBLON RDV",IF(COUNTIF(Clients!$A$2:$A$51,C84)&lt;&gt;1,"Client à corriger",IF(COUNTIF(Services!$A$2:$A$4,E84)&lt;&gt;1,"Service à corriger",IF(OR(NOT(ISNUMBER(B84)),G84&lt;=0,H84&lt;0,COUNTIF(ListeStatuts,I84)&lt;&gt;1,COUNTIF(ListeFactures,P84)&lt;&gt;1),"Saisie à corriger",IF(AND(I84="Réalisé",OR(H84&lt;=0,B84&gt;Parametres!$B$7)),"Réalisation à vérifier",IF(AND(P84="Émise",OR(Q84="",I84&lt;&gt;"Réalisé")),"Facture à corriger",IF(AND(Q84&lt;&gt;"",COUNTIF($Q$2:$Q$301,Q84)&gt;1),"DOUBLON FACTURE",IF(AND(I84="Réalisé",ABS(G84-H84)&gt;0.001,T84=""),"Écart heures","OK")))))))))</f>
        <v/>
      </c>
      <c r="T84" s="8"/>
    </row>
    <row r="85" spans="1:20" ht="22" customHeight="1">
      <c r="A85" s="8"/>
      <c r="B85" s="6"/>
      <c r="C85" s="8"/>
      <c r="D85" s="9">
        <f>IF(C85="","",IFERROR(VLOOKUP(C85,Clients!$A$2:$M$51,12,FALSE),"CLIENT INCONNU"))</f>
        <v/>
      </c>
      <c r="E85" s="8"/>
      <c r="F85" s="9">
        <f>IF(E85="","",IFERROR(VLOOKUP(E85,Services!$A$2:$D$4,2,FALSE),"SERVICE INCONNU"))</f>
        <v/>
      </c>
      <c r="G85" s="8"/>
      <c r="H85" s="8"/>
      <c r="I85" s="8"/>
      <c r="J85" s="11">
        <f>IF(E85="","",IFERROR(VLOOKUP(E85,Services!$A$2:$D$4,3,FALSE),0))</f>
        <v/>
      </c>
      <c r="K85" s="9">
        <f>IF(C85="","",IFERROR(VLOOKUP(C85,Clients!$A$2:$M$51,11,FALSE),"Non"))</f>
        <v/>
      </c>
      <c r="L85" s="12">
        <f>IF(A85="","",IF(I85&lt;&gt;"Réalisé",0,IF(E85&lt;&gt;"Sexologie",0,IF(K85&lt;&gt;"Oui",0,IF(AND(B85&gt;=Parametres!$B$2,B85&lt;=Parametres!$B$3),Parametres!$B$5,0)))))</f>
        <v/>
      </c>
      <c r="M85" s="11">
        <f>IF(A85="","",IF(I85="Réalisé",ROUND(H85*J85,2),0))</f>
        <v/>
      </c>
      <c r="N85" s="11">
        <f>IF(A85="","",ROUND(M85*L85,2))</f>
        <v/>
      </c>
      <c r="O85" s="11">
        <f>IF(A85="","",ROUND(M85-N85,2))</f>
        <v/>
      </c>
      <c r="P85" s="8"/>
      <c r="Q85" s="8"/>
      <c r="R85" s="13">
        <f>IF(A85="","",IF(I85="Réalisé",H85,0))</f>
        <v/>
      </c>
      <c r="S85" s="9">
        <f>IF(A85="","",IF(COUNTIF($A$2:$A$301,A85)&gt;1,"DOUBLON RDV",IF(COUNTIF(Clients!$A$2:$A$51,C85)&lt;&gt;1,"Client à corriger",IF(COUNTIF(Services!$A$2:$A$4,E85)&lt;&gt;1,"Service à corriger",IF(OR(NOT(ISNUMBER(B85)),G85&lt;=0,H85&lt;0,COUNTIF(ListeStatuts,I85)&lt;&gt;1,COUNTIF(ListeFactures,P85)&lt;&gt;1),"Saisie à corriger",IF(AND(I85="Réalisé",OR(H85&lt;=0,B85&gt;Parametres!$B$7)),"Réalisation à vérifier",IF(AND(P85="Émise",OR(Q85="",I85&lt;&gt;"Réalisé")),"Facture à corriger",IF(AND(Q85&lt;&gt;"",COUNTIF($Q$2:$Q$301,Q85)&gt;1),"DOUBLON FACTURE",IF(AND(I85="Réalisé",ABS(G85-H85)&gt;0.001,T85=""),"Écart heures","OK")))))))))</f>
        <v/>
      </c>
      <c r="T85" s="8"/>
    </row>
    <row r="86" spans="1:20" ht="22" customHeight="1">
      <c r="A86" s="8"/>
      <c r="B86" s="6"/>
      <c r="C86" s="8"/>
      <c r="D86" s="9">
        <f>IF(C86="","",IFERROR(VLOOKUP(C86,Clients!$A$2:$M$51,12,FALSE),"CLIENT INCONNU"))</f>
        <v/>
      </c>
      <c r="E86" s="8"/>
      <c r="F86" s="9">
        <f>IF(E86="","",IFERROR(VLOOKUP(E86,Services!$A$2:$D$4,2,FALSE),"SERVICE INCONNU"))</f>
        <v/>
      </c>
      <c r="G86" s="8"/>
      <c r="H86" s="8"/>
      <c r="I86" s="8"/>
      <c r="J86" s="11">
        <f>IF(E86="","",IFERROR(VLOOKUP(E86,Services!$A$2:$D$4,3,FALSE),0))</f>
        <v/>
      </c>
      <c r="K86" s="9">
        <f>IF(C86="","",IFERROR(VLOOKUP(C86,Clients!$A$2:$M$51,11,FALSE),"Non"))</f>
        <v/>
      </c>
      <c r="L86" s="12">
        <f>IF(A86="","",IF(I86&lt;&gt;"Réalisé",0,IF(E86&lt;&gt;"Sexologie",0,IF(K86&lt;&gt;"Oui",0,IF(AND(B86&gt;=Parametres!$B$2,B86&lt;=Parametres!$B$3),Parametres!$B$5,0)))))</f>
        <v/>
      </c>
      <c r="M86" s="11">
        <f>IF(A86="","",IF(I86="Réalisé",ROUND(H86*J86,2),0))</f>
        <v/>
      </c>
      <c r="N86" s="11">
        <f>IF(A86="","",ROUND(M86*L86,2))</f>
        <v/>
      </c>
      <c r="O86" s="11">
        <f>IF(A86="","",ROUND(M86-N86,2))</f>
        <v/>
      </c>
      <c r="P86" s="8"/>
      <c r="Q86" s="8"/>
      <c r="R86" s="13">
        <f>IF(A86="","",IF(I86="Réalisé",H86,0))</f>
        <v/>
      </c>
      <c r="S86" s="9">
        <f>IF(A86="","",IF(COUNTIF($A$2:$A$301,A86)&gt;1,"DOUBLON RDV",IF(COUNTIF(Clients!$A$2:$A$51,C86)&lt;&gt;1,"Client à corriger",IF(COUNTIF(Services!$A$2:$A$4,E86)&lt;&gt;1,"Service à corriger",IF(OR(NOT(ISNUMBER(B86)),G86&lt;=0,H86&lt;0,COUNTIF(ListeStatuts,I86)&lt;&gt;1,COUNTIF(ListeFactures,P86)&lt;&gt;1),"Saisie à corriger",IF(AND(I86="Réalisé",OR(H86&lt;=0,B86&gt;Parametres!$B$7)),"Réalisation à vérifier",IF(AND(P86="Émise",OR(Q86="",I86&lt;&gt;"Réalisé")),"Facture à corriger",IF(AND(Q86&lt;&gt;"",COUNTIF($Q$2:$Q$301,Q86)&gt;1),"DOUBLON FACTURE",IF(AND(I86="Réalisé",ABS(G86-H86)&gt;0.001,T86=""),"Écart heures","OK")))))))))</f>
        <v/>
      </c>
      <c r="T86" s="8"/>
    </row>
    <row r="87" spans="1:20" ht="22" customHeight="1">
      <c r="A87" s="8"/>
      <c r="B87" s="6"/>
      <c r="C87" s="8"/>
      <c r="D87" s="9">
        <f>IF(C87="","",IFERROR(VLOOKUP(C87,Clients!$A$2:$M$51,12,FALSE),"CLIENT INCONNU"))</f>
        <v/>
      </c>
      <c r="E87" s="8"/>
      <c r="F87" s="9">
        <f>IF(E87="","",IFERROR(VLOOKUP(E87,Services!$A$2:$D$4,2,FALSE),"SERVICE INCONNU"))</f>
        <v/>
      </c>
      <c r="G87" s="8"/>
      <c r="H87" s="8"/>
      <c r="I87" s="8"/>
      <c r="J87" s="11">
        <f>IF(E87="","",IFERROR(VLOOKUP(E87,Services!$A$2:$D$4,3,FALSE),0))</f>
        <v/>
      </c>
      <c r="K87" s="9">
        <f>IF(C87="","",IFERROR(VLOOKUP(C87,Clients!$A$2:$M$51,11,FALSE),"Non"))</f>
        <v/>
      </c>
      <c r="L87" s="12">
        <f>IF(A87="","",IF(I87&lt;&gt;"Réalisé",0,IF(E87&lt;&gt;"Sexologie",0,IF(K87&lt;&gt;"Oui",0,IF(AND(B87&gt;=Parametres!$B$2,B87&lt;=Parametres!$B$3),Parametres!$B$5,0)))))</f>
        <v/>
      </c>
      <c r="M87" s="11">
        <f>IF(A87="","",IF(I87="Réalisé",ROUND(H87*J87,2),0))</f>
        <v/>
      </c>
      <c r="N87" s="11">
        <f>IF(A87="","",ROUND(M87*L87,2))</f>
        <v/>
      </c>
      <c r="O87" s="11">
        <f>IF(A87="","",ROUND(M87-N87,2))</f>
        <v/>
      </c>
      <c r="P87" s="8"/>
      <c r="Q87" s="8"/>
      <c r="R87" s="13">
        <f>IF(A87="","",IF(I87="Réalisé",H87,0))</f>
        <v/>
      </c>
      <c r="S87" s="9">
        <f>IF(A87="","",IF(COUNTIF($A$2:$A$301,A87)&gt;1,"DOUBLON RDV",IF(COUNTIF(Clients!$A$2:$A$51,C87)&lt;&gt;1,"Client à corriger",IF(COUNTIF(Services!$A$2:$A$4,E87)&lt;&gt;1,"Service à corriger",IF(OR(NOT(ISNUMBER(B87)),G87&lt;=0,H87&lt;0,COUNTIF(ListeStatuts,I87)&lt;&gt;1,COUNTIF(ListeFactures,P87)&lt;&gt;1),"Saisie à corriger",IF(AND(I87="Réalisé",OR(H87&lt;=0,B87&gt;Parametres!$B$7)),"Réalisation à vérifier",IF(AND(P87="Émise",OR(Q87="",I87&lt;&gt;"Réalisé")),"Facture à corriger",IF(AND(Q87&lt;&gt;"",COUNTIF($Q$2:$Q$301,Q87)&gt;1),"DOUBLON FACTURE",IF(AND(I87="Réalisé",ABS(G87-H87)&gt;0.001,T87=""),"Écart heures","OK")))))))))</f>
        <v/>
      </c>
      <c r="T87" s="8"/>
    </row>
    <row r="88" spans="1:20" ht="22" customHeight="1">
      <c r="A88" s="8"/>
      <c r="B88" s="6"/>
      <c r="C88" s="8"/>
      <c r="D88" s="9">
        <f>IF(C88="","",IFERROR(VLOOKUP(C88,Clients!$A$2:$M$51,12,FALSE),"CLIENT INCONNU"))</f>
        <v/>
      </c>
      <c r="E88" s="8"/>
      <c r="F88" s="9">
        <f>IF(E88="","",IFERROR(VLOOKUP(E88,Services!$A$2:$D$4,2,FALSE),"SERVICE INCONNU"))</f>
        <v/>
      </c>
      <c r="G88" s="8"/>
      <c r="H88" s="8"/>
      <c r="I88" s="8"/>
      <c r="J88" s="11">
        <f>IF(E88="","",IFERROR(VLOOKUP(E88,Services!$A$2:$D$4,3,FALSE),0))</f>
        <v/>
      </c>
      <c r="K88" s="9">
        <f>IF(C88="","",IFERROR(VLOOKUP(C88,Clients!$A$2:$M$51,11,FALSE),"Non"))</f>
        <v/>
      </c>
      <c r="L88" s="12">
        <f>IF(A88="","",IF(I88&lt;&gt;"Réalisé",0,IF(E88&lt;&gt;"Sexologie",0,IF(K88&lt;&gt;"Oui",0,IF(AND(B88&gt;=Parametres!$B$2,B88&lt;=Parametres!$B$3),Parametres!$B$5,0)))))</f>
        <v/>
      </c>
      <c r="M88" s="11">
        <f>IF(A88="","",IF(I88="Réalisé",ROUND(H88*J88,2),0))</f>
        <v/>
      </c>
      <c r="N88" s="11">
        <f>IF(A88="","",ROUND(M88*L88,2))</f>
        <v/>
      </c>
      <c r="O88" s="11">
        <f>IF(A88="","",ROUND(M88-N88,2))</f>
        <v/>
      </c>
      <c r="P88" s="8"/>
      <c r="Q88" s="8"/>
      <c r="R88" s="13">
        <f>IF(A88="","",IF(I88="Réalisé",H88,0))</f>
        <v/>
      </c>
      <c r="S88" s="9">
        <f>IF(A88="","",IF(COUNTIF($A$2:$A$301,A88)&gt;1,"DOUBLON RDV",IF(COUNTIF(Clients!$A$2:$A$51,C88)&lt;&gt;1,"Client à corriger",IF(COUNTIF(Services!$A$2:$A$4,E88)&lt;&gt;1,"Service à corriger",IF(OR(NOT(ISNUMBER(B88)),G88&lt;=0,H88&lt;0,COUNTIF(ListeStatuts,I88)&lt;&gt;1,COUNTIF(ListeFactures,P88)&lt;&gt;1),"Saisie à corriger",IF(AND(I88="Réalisé",OR(H88&lt;=0,B88&gt;Parametres!$B$7)),"Réalisation à vérifier",IF(AND(P88="Émise",OR(Q88="",I88&lt;&gt;"Réalisé")),"Facture à corriger",IF(AND(Q88&lt;&gt;"",COUNTIF($Q$2:$Q$301,Q88)&gt;1),"DOUBLON FACTURE",IF(AND(I88="Réalisé",ABS(G88-H88)&gt;0.001,T88=""),"Écart heures","OK")))))))))</f>
        <v/>
      </c>
      <c r="T88" s="8"/>
    </row>
    <row r="89" spans="1:20" ht="22" customHeight="1">
      <c r="A89" s="8"/>
      <c r="B89" s="6"/>
      <c r="C89" s="8"/>
      <c r="D89" s="9">
        <f>IF(C89="","",IFERROR(VLOOKUP(C89,Clients!$A$2:$M$51,12,FALSE),"CLIENT INCONNU"))</f>
        <v/>
      </c>
      <c r="E89" s="8"/>
      <c r="F89" s="9">
        <f>IF(E89="","",IFERROR(VLOOKUP(E89,Services!$A$2:$D$4,2,FALSE),"SERVICE INCONNU"))</f>
        <v/>
      </c>
      <c r="G89" s="8"/>
      <c r="H89" s="8"/>
      <c r="I89" s="8"/>
      <c r="J89" s="11">
        <f>IF(E89="","",IFERROR(VLOOKUP(E89,Services!$A$2:$D$4,3,FALSE),0))</f>
        <v/>
      </c>
      <c r="K89" s="9">
        <f>IF(C89="","",IFERROR(VLOOKUP(C89,Clients!$A$2:$M$51,11,FALSE),"Non"))</f>
        <v/>
      </c>
      <c r="L89" s="12">
        <f>IF(A89="","",IF(I89&lt;&gt;"Réalisé",0,IF(E89&lt;&gt;"Sexologie",0,IF(K89&lt;&gt;"Oui",0,IF(AND(B89&gt;=Parametres!$B$2,B89&lt;=Parametres!$B$3),Parametres!$B$5,0)))))</f>
        <v/>
      </c>
      <c r="M89" s="11">
        <f>IF(A89="","",IF(I89="Réalisé",ROUND(H89*J89,2),0))</f>
        <v/>
      </c>
      <c r="N89" s="11">
        <f>IF(A89="","",ROUND(M89*L89,2))</f>
        <v/>
      </c>
      <c r="O89" s="11">
        <f>IF(A89="","",ROUND(M89-N89,2))</f>
        <v/>
      </c>
      <c r="P89" s="8"/>
      <c r="Q89" s="8"/>
      <c r="R89" s="13">
        <f>IF(A89="","",IF(I89="Réalisé",H89,0))</f>
        <v/>
      </c>
      <c r="S89" s="9">
        <f>IF(A89="","",IF(COUNTIF($A$2:$A$301,A89)&gt;1,"DOUBLON RDV",IF(COUNTIF(Clients!$A$2:$A$51,C89)&lt;&gt;1,"Client à corriger",IF(COUNTIF(Services!$A$2:$A$4,E89)&lt;&gt;1,"Service à corriger",IF(OR(NOT(ISNUMBER(B89)),G89&lt;=0,H89&lt;0,COUNTIF(ListeStatuts,I89)&lt;&gt;1,COUNTIF(ListeFactures,P89)&lt;&gt;1),"Saisie à corriger",IF(AND(I89="Réalisé",OR(H89&lt;=0,B89&gt;Parametres!$B$7)),"Réalisation à vérifier",IF(AND(P89="Émise",OR(Q89="",I89&lt;&gt;"Réalisé")),"Facture à corriger",IF(AND(Q89&lt;&gt;"",COUNTIF($Q$2:$Q$301,Q89)&gt;1),"DOUBLON FACTURE",IF(AND(I89="Réalisé",ABS(G89-H89)&gt;0.001,T89=""),"Écart heures","OK")))))))))</f>
        <v/>
      </c>
      <c r="T89" s="8"/>
    </row>
    <row r="90" spans="1:20" ht="22" customHeight="1">
      <c r="A90" s="8"/>
      <c r="B90" s="6"/>
      <c r="C90" s="8"/>
      <c r="D90" s="9">
        <f>IF(C90="","",IFERROR(VLOOKUP(C90,Clients!$A$2:$M$51,12,FALSE),"CLIENT INCONNU"))</f>
        <v/>
      </c>
      <c r="E90" s="8"/>
      <c r="F90" s="9">
        <f>IF(E90="","",IFERROR(VLOOKUP(E90,Services!$A$2:$D$4,2,FALSE),"SERVICE INCONNU"))</f>
        <v/>
      </c>
      <c r="G90" s="8"/>
      <c r="H90" s="8"/>
      <c r="I90" s="8"/>
      <c r="J90" s="11">
        <f>IF(E90="","",IFERROR(VLOOKUP(E90,Services!$A$2:$D$4,3,FALSE),0))</f>
        <v/>
      </c>
      <c r="K90" s="9">
        <f>IF(C90="","",IFERROR(VLOOKUP(C90,Clients!$A$2:$M$51,11,FALSE),"Non"))</f>
        <v/>
      </c>
      <c r="L90" s="12">
        <f>IF(A90="","",IF(I90&lt;&gt;"Réalisé",0,IF(E90&lt;&gt;"Sexologie",0,IF(K90&lt;&gt;"Oui",0,IF(AND(B90&gt;=Parametres!$B$2,B90&lt;=Parametres!$B$3),Parametres!$B$5,0)))))</f>
        <v/>
      </c>
      <c r="M90" s="11">
        <f>IF(A90="","",IF(I90="Réalisé",ROUND(H90*J90,2),0))</f>
        <v/>
      </c>
      <c r="N90" s="11">
        <f>IF(A90="","",ROUND(M90*L90,2))</f>
        <v/>
      </c>
      <c r="O90" s="11">
        <f>IF(A90="","",ROUND(M90-N90,2))</f>
        <v/>
      </c>
      <c r="P90" s="8"/>
      <c r="Q90" s="8"/>
      <c r="R90" s="13">
        <f>IF(A90="","",IF(I90="Réalisé",H90,0))</f>
        <v/>
      </c>
      <c r="S90" s="9">
        <f>IF(A90="","",IF(COUNTIF($A$2:$A$301,A90)&gt;1,"DOUBLON RDV",IF(COUNTIF(Clients!$A$2:$A$51,C90)&lt;&gt;1,"Client à corriger",IF(COUNTIF(Services!$A$2:$A$4,E90)&lt;&gt;1,"Service à corriger",IF(OR(NOT(ISNUMBER(B90)),G90&lt;=0,H90&lt;0,COUNTIF(ListeStatuts,I90)&lt;&gt;1,COUNTIF(ListeFactures,P90)&lt;&gt;1),"Saisie à corriger",IF(AND(I90="Réalisé",OR(H90&lt;=0,B90&gt;Parametres!$B$7)),"Réalisation à vérifier",IF(AND(P90="Émise",OR(Q90="",I90&lt;&gt;"Réalisé")),"Facture à corriger",IF(AND(Q90&lt;&gt;"",COUNTIF($Q$2:$Q$301,Q90)&gt;1),"DOUBLON FACTURE",IF(AND(I90="Réalisé",ABS(G90-H90)&gt;0.001,T90=""),"Écart heures","OK")))))))))</f>
        <v/>
      </c>
      <c r="T90" s="8"/>
    </row>
    <row r="91" spans="1:20" ht="22" customHeight="1">
      <c r="A91" s="8"/>
      <c r="B91" s="6"/>
      <c r="C91" s="8"/>
      <c r="D91" s="9">
        <f>IF(C91="","",IFERROR(VLOOKUP(C91,Clients!$A$2:$M$51,12,FALSE),"CLIENT INCONNU"))</f>
        <v/>
      </c>
      <c r="E91" s="8"/>
      <c r="F91" s="9">
        <f>IF(E91="","",IFERROR(VLOOKUP(E91,Services!$A$2:$D$4,2,FALSE),"SERVICE INCONNU"))</f>
        <v/>
      </c>
      <c r="G91" s="8"/>
      <c r="H91" s="8"/>
      <c r="I91" s="8"/>
      <c r="J91" s="11">
        <f>IF(E91="","",IFERROR(VLOOKUP(E91,Services!$A$2:$D$4,3,FALSE),0))</f>
        <v/>
      </c>
      <c r="K91" s="9">
        <f>IF(C91="","",IFERROR(VLOOKUP(C91,Clients!$A$2:$M$51,11,FALSE),"Non"))</f>
        <v/>
      </c>
      <c r="L91" s="12">
        <f>IF(A91="","",IF(I91&lt;&gt;"Réalisé",0,IF(E91&lt;&gt;"Sexologie",0,IF(K91&lt;&gt;"Oui",0,IF(AND(B91&gt;=Parametres!$B$2,B91&lt;=Parametres!$B$3),Parametres!$B$5,0)))))</f>
        <v/>
      </c>
      <c r="M91" s="11">
        <f>IF(A91="","",IF(I91="Réalisé",ROUND(H91*J91,2),0))</f>
        <v/>
      </c>
      <c r="N91" s="11">
        <f>IF(A91="","",ROUND(M91*L91,2))</f>
        <v/>
      </c>
      <c r="O91" s="11">
        <f>IF(A91="","",ROUND(M91-N91,2))</f>
        <v/>
      </c>
      <c r="P91" s="8"/>
      <c r="Q91" s="8"/>
      <c r="R91" s="13">
        <f>IF(A91="","",IF(I91="Réalisé",H91,0))</f>
        <v/>
      </c>
      <c r="S91" s="9">
        <f>IF(A91="","",IF(COUNTIF($A$2:$A$301,A91)&gt;1,"DOUBLON RDV",IF(COUNTIF(Clients!$A$2:$A$51,C91)&lt;&gt;1,"Client à corriger",IF(COUNTIF(Services!$A$2:$A$4,E91)&lt;&gt;1,"Service à corriger",IF(OR(NOT(ISNUMBER(B91)),G91&lt;=0,H91&lt;0,COUNTIF(ListeStatuts,I91)&lt;&gt;1,COUNTIF(ListeFactures,P91)&lt;&gt;1),"Saisie à corriger",IF(AND(I91="Réalisé",OR(H91&lt;=0,B91&gt;Parametres!$B$7)),"Réalisation à vérifier",IF(AND(P91="Émise",OR(Q91="",I91&lt;&gt;"Réalisé")),"Facture à corriger",IF(AND(Q91&lt;&gt;"",COUNTIF($Q$2:$Q$301,Q91)&gt;1),"DOUBLON FACTURE",IF(AND(I91="Réalisé",ABS(G91-H91)&gt;0.001,T91=""),"Écart heures","OK")))))))))</f>
        <v/>
      </c>
      <c r="T91" s="8"/>
    </row>
    <row r="92" spans="1:20" ht="22" customHeight="1">
      <c r="A92" s="8"/>
      <c r="B92" s="6"/>
      <c r="C92" s="8"/>
      <c r="D92" s="9">
        <f>IF(C92="","",IFERROR(VLOOKUP(C92,Clients!$A$2:$M$51,12,FALSE),"CLIENT INCONNU"))</f>
        <v/>
      </c>
      <c r="E92" s="8"/>
      <c r="F92" s="9">
        <f>IF(E92="","",IFERROR(VLOOKUP(E92,Services!$A$2:$D$4,2,FALSE),"SERVICE INCONNU"))</f>
        <v/>
      </c>
      <c r="G92" s="8"/>
      <c r="H92" s="8"/>
      <c r="I92" s="8"/>
      <c r="J92" s="11">
        <f>IF(E92="","",IFERROR(VLOOKUP(E92,Services!$A$2:$D$4,3,FALSE),0))</f>
        <v/>
      </c>
      <c r="K92" s="9">
        <f>IF(C92="","",IFERROR(VLOOKUP(C92,Clients!$A$2:$M$51,11,FALSE),"Non"))</f>
        <v/>
      </c>
      <c r="L92" s="12">
        <f>IF(A92="","",IF(I92&lt;&gt;"Réalisé",0,IF(E92&lt;&gt;"Sexologie",0,IF(K92&lt;&gt;"Oui",0,IF(AND(B92&gt;=Parametres!$B$2,B92&lt;=Parametres!$B$3),Parametres!$B$5,0)))))</f>
        <v/>
      </c>
      <c r="M92" s="11">
        <f>IF(A92="","",IF(I92="Réalisé",ROUND(H92*J92,2),0))</f>
        <v/>
      </c>
      <c r="N92" s="11">
        <f>IF(A92="","",ROUND(M92*L92,2))</f>
        <v/>
      </c>
      <c r="O92" s="11">
        <f>IF(A92="","",ROUND(M92-N92,2))</f>
        <v/>
      </c>
      <c r="P92" s="8"/>
      <c r="Q92" s="8"/>
      <c r="R92" s="13">
        <f>IF(A92="","",IF(I92="Réalisé",H92,0))</f>
        <v/>
      </c>
      <c r="S92" s="9">
        <f>IF(A92="","",IF(COUNTIF($A$2:$A$301,A92)&gt;1,"DOUBLON RDV",IF(COUNTIF(Clients!$A$2:$A$51,C92)&lt;&gt;1,"Client à corriger",IF(COUNTIF(Services!$A$2:$A$4,E92)&lt;&gt;1,"Service à corriger",IF(OR(NOT(ISNUMBER(B92)),G92&lt;=0,H92&lt;0,COUNTIF(ListeStatuts,I92)&lt;&gt;1,COUNTIF(ListeFactures,P92)&lt;&gt;1),"Saisie à corriger",IF(AND(I92="Réalisé",OR(H92&lt;=0,B92&gt;Parametres!$B$7)),"Réalisation à vérifier",IF(AND(P92="Émise",OR(Q92="",I92&lt;&gt;"Réalisé")),"Facture à corriger",IF(AND(Q92&lt;&gt;"",COUNTIF($Q$2:$Q$301,Q92)&gt;1),"DOUBLON FACTURE",IF(AND(I92="Réalisé",ABS(G92-H92)&gt;0.001,T92=""),"Écart heures","OK")))))))))</f>
        <v/>
      </c>
      <c r="T92" s="8"/>
    </row>
    <row r="93" spans="1:20" ht="22" customHeight="1">
      <c r="A93" s="8"/>
      <c r="B93" s="6"/>
      <c r="C93" s="8"/>
      <c r="D93" s="9">
        <f>IF(C93="","",IFERROR(VLOOKUP(C93,Clients!$A$2:$M$51,12,FALSE),"CLIENT INCONNU"))</f>
        <v/>
      </c>
      <c r="E93" s="8"/>
      <c r="F93" s="9">
        <f>IF(E93="","",IFERROR(VLOOKUP(E93,Services!$A$2:$D$4,2,FALSE),"SERVICE INCONNU"))</f>
        <v/>
      </c>
      <c r="G93" s="8"/>
      <c r="H93" s="8"/>
      <c r="I93" s="8"/>
      <c r="J93" s="11">
        <f>IF(E93="","",IFERROR(VLOOKUP(E93,Services!$A$2:$D$4,3,FALSE),0))</f>
        <v/>
      </c>
      <c r="K93" s="9">
        <f>IF(C93="","",IFERROR(VLOOKUP(C93,Clients!$A$2:$M$51,11,FALSE),"Non"))</f>
        <v/>
      </c>
      <c r="L93" s="12">
        <f>IF(A93="","",IF(I93&lt;&gt;"Réalisé",0,IF(E93&lt;&gt;"Sexologie",0,IF(K93&lt;&gt;"Oui",0,IF(AND(B93&gt;=Parametres!$B$2,B93&lt;=Parametres!$B$3),Parametres!$B$5,0)))))</f>
        <v/>
      </c>
      <c r="M93" s="11">
        <f>IF(A93="","",IF(I93="Réalisé",ROUND(H93*J93,2),0))</f>
        <v/>
      </c>
      <c r="N93" s="11">
        <f>IF(A93="","",ROUND(M93*L93,2))</f>
        <v/>
      </c>
      <c r="O93" s="11">
        <f>IF(A93="","",ROUND(M93-N93,2))</f>
        <v/>
      </c>
      <c r="P93" s="8"/>
      <c r="Q93" s="8"/>
      <c r="R93" s="13">
        <f>IF(A93="","",IF(I93="Réalisé",H93,0))</f>
        <v/>
      </c>
      <c r="S93" s="9">
        <f>IF(A93="","",IF(COUNTIF($A$2:$A$301,A93)&gt;1,"DOUBLON RDV",IF(COUNTIF(Clients!$A$2:$A$51,C93)&lt;&gt;1,"Client à corriger",IF(COUNTIF(Services!$A$2:$A$4,E93)&lt;&gt;1,"Service à corriger",IF(OR(NOT(ISNUMBER(B93)),G93&lt;=0,H93&lt;0,COUNTIF(ListeStatuts,I93)&lt;&gt;1,COUNTIF(ListeFactures,P93)&lt;&gt;1),"Saisie à corriger",IF(AND(I93="Réalisé",OR(H93&lt;=0,B93&gt;Parametres!$B$7)),"Réalisation à vérifier",IF(AND(P93="Émise",OR(Q93="",I93&lt;&gt;"Réalisé")),"Facture à corriger",IF(AND(Q93&lt;&gt;"",COUNTIF($Q$2:$Q$301,Q93)&gt;1),"DOUBLON FACTURE",IF(AND(I93="Réalisé",ABS(G93-H93)&gt;0.001,T93=""),"Écart heures","OK")))))))))</f>
        <v/>
      </c>
      <c r="T93" s="8"/>
    </row>
    <row r="94" spans="1:20" ht="22" customHeight="1">
      <c r="A94" s="8"/>
      <c r="B94" s="6"/>
      <c r="C94" s="8"/>
      <c r="D94" s="9">
        <f>IF(C94="","",IFERROR(VLOOKUP(C94,Clients!$A$2:$M$51,12,FALSE),"CLIENT INCONNU"))</f>
        <v/>
      </c>
      <c r="E94" s="8"/>
      <c r="F94" s="9">
        <f>IF(E94="","",IFERROR(VLOOKUP(E94,Services!$A$2:$D$4,2,FALSE),"SERVICE INCONNU"))</f>
        <v/>
      </c>
      <c r="G94" s="8"/>
      <c r="H94" s="8"/>
      <c r="I94" s="8"/>
      <c r="J94" s="11">
        <f>IF(E94="","",IFERROR(VLOOKUP(E94,Services!$A$2:$D$4,3,FALSE),0))</f>
        <v/>
      </c>
      <c r="K94" s="9">
        <f>IF(C94="","",IFERROR(VLOOKUP(C94,Clients!$A$2:$M$51,11,FALSE),"Non"))</f>
        <v/>
      </c>
      <c r="L94" s="12">
        <f>IF(A94="","",IF(I94&lt;&gt;"Réalisé",0,IF(E94&lt;&gt;"Sexologie",0,IF(K94&lt;&gt;"Oui",0,IF(AND(B94&gt;=Parametres!$B$2,B94&lt;=Parametres!$B$3),Parametres!$B$5,0)))))</f>
        <v/>
      </c>
      <c r="M94" s="11">
        <f>IF(A94="","",IF(I94="Réalisé",ROUND(H94*J94,2),0))</f>
        <v/>
      </c>
      <c r="N94" s="11">
        <f>IF(A94="","",ROUND(M94*L94,2))</f>
        <v/>
      </c>
      <c r="O94" s="11">
        <f>IF(A94="","",ROUND(M94-N94,2))</f>
        <v/>
      </c>
      <c r="P94" s="8"/>
      <c r="Q94" s="8"/>
      <c r="R94" s="13">
        <f>IF(A94="","",IF(I94="Réalisé",H94,0))</f>
        <v/>
      </c>
      <c r="S94" s="9">
        <f>IF(A94="","",IF(COUNTIF($A$2:$A$301,A94)&gt;1,"DOUBLON RDV",IF(COUNTIF(Clients!$A$2:$A$51,C94)&lt;&gt;1,"Client à corriger",IF(COUNTIF(Services!$A$2:$A$4,E94)&lt;&gt;1,"Service à corriger",IF(OR(NOT(ISNUMBER(B94)),G94&lt;=0,H94&lt;0,COUNTIF(ListeStatuts,I94)&lt;&gt;1,COUNTIF(ListeFactures,P94)&lt;&gt;1),"Saisie à corriger",IF(AND(I94="Réalisé",OR(H94&lt;=0,B94&gt;Parametres!$B$7)),"Réalisation à vérifier",IF(AND(P94="Émise",OR(Q94="",I94&lt;&gt;"Réalisé")),"Facture à corriger",IF(AND(Q94&lt;&gt;"",COUNTIF($Q$2:$Q$301,Q94)&gt;1),"DOUBLON FACTURE",IF(AND(I94="Réalisé",ABS(G94-H94)&gt;0.001,T94=""),"Écart heures","OK")))))))))</f>
        <v/>
      </c>
      <c r="T94" s="8"/>
    </row>
    <row r="95" spans="1:20" ht="22" customHeight="1">
      <c r="A95" s="8"/>
      <c r="B95" s="6"/>
      <c r="C95" s="8"/>
      <c r="D95" s="9">
        <f>IF(C95="","",IFERROR(VLOOKUP(C95,Clients!$A$2:$M$51,12,FALSE),"CLIENT INCONNU"))</f>
        <v/>
      </c>
      <c r="E95" s="8"/>
      <c r="F95" s="9">
        <f>IF(E95="","",IFERROR(VLOOKUP(E95,Services!$A$2:$D$4,2,FALSE),"SERVICE INCONNU"))</f>
        <v/>
      </c>
      <c r="G95" s="8"/>
      <c r="H95" s="8"/>
      <c r="I95" s="8"/>
      <c r="J95" s="11">
        <f>IF(E95="","",IFERROR(VLOOKUP(E95,Services!$A$2:$D$4,3,FALSE),0))</f>
        <v/>
      </c>
      <c r="K95" s="9">
        <f>IF(C95="","",IFERROR(VLOOKUP(C95,Clients!$A$2:$M$51,11,FALSE),"Non"))</f>
        <v/>
      </c>
      <c r="L95" s="12">
        <f>IF(A95="","",IF(I95&lt;&gt;"Réalisé",0,IF(E95&lt;&gt;"Sexologie",0,IF(K95&lt;&gt;"Oui",0,IF(AND(B95&gt;=Parametres!$B$2,B95&lt;=Parametres!$B$3),Parametres!$B$5,0)))))</f>
        <v/>
      </c>
      <c r="M95" s="11">
        <f>IF(A95="","",IF(I95="Réalisé",ROUND(H95*J95,2),0))</f>
        <v/>
      </c>
      <c r="N95" s="11">
        <f>IF(A95="","",ROUND(M95*L95,2))</f>
        <v/>
      </c>
      <c r="O95" s="11">
        <f>IF(A95="","",ROUND(M95-N95,2))</f>
        <v/>
      </c>
      <c r="P95" s="8"/>
      <c r="Q95" s="8"/>
      <c r="R95" s="13">
        <f>IF(A95="","",IF(I95="Réalisé",H95,0))</f>
        <v/>
      </c>
      <c r="S95" s="9">
        <f>IF(A95="","",IF(COUNTIF($A$2:$A$301,A95)&gt;1,"DOUBLON RDV",IF(COUNTIF(Clients!$A$2:$A$51,C95)&lt;&gt;1,"Client à corriger",IF(COUNTIF(Services!$A$2:$A$4,E95)&lt;&gt;1,"Service à corriger",IF(OR(NOT(ISNUMBER(B95)),G95&lt;=0,H95&lt;0,COUNTIF(ListeStatuts,I95)&lt;&gt;1,COUNTIF(ListeFactures,P95)&lt;&gt;1),"Saisie à corriger",IF(AND(I95="Réalisé",OR(H95&lt;=0,B95&gt;Parametres!$B$7)),"Réalisation à vérifier",IF(AND(P95="Émise",OR(Q95="",I95&lt;&gt;"Réalisé")),"Facture à corriger",IF(AND(Q95&lt;&gt;"",COUNTIF($Q$2:$Q$301,Q95)&gt;1),"DOUBLON FACTURE",IF(AND(I95="Réalisé",ABS(G95-H95)&gt;0.001,T95=""),"Écart heures","OK")))))))))</f>
        <v/>
      </c>
      <c r="T95" s="8"/>
    </row>
    <row r="96" spans="1:20" ht="22" customHeight="1">
      <c r="A96" s="8"/>
      <c r="B96" s="6"/>
      <c r="C96" s="8"/>
      <c r="D96" s="9">
        <f>IF(C96="","",IFERROR(VLOOKUP(C96,Clients!$A$2:$M$51,12,FALSE),"CLIENT INCONNU"))</f>
        <v/>
      </c>
      <c r="E96" s="8"/>
      <c r="F96" s="9">
        <f>IF(E96="","",IFERROR(VLOOKUP(E96,Services!$A$2:$D$4,2,FALSE),"SERVICE INCONNU"))</f>
        <v/>
      </c>
      <c r="G96" s="8"/>
      <c r="H96" s="8"/>
      <c r="I96" s="8"/>
      <c r="J96" s="11">
        <f>IF(E96="","",IFERROR(VLOOKUP(E96,Services!$A$2:$D$4,3,FALSE),0))</f>
        <v/>
      </c>
      <c r="K96" s="9">
        <f>IF(C96="","",IFERROR(VLOOKUP(C96,Clients!$A$2:$M$51,11,FALSE),"Non"))</f>
        <v/>
      </c>
      <c r="L96" s="12">
        <f>IF(A96="","",IF(I96&lt;&gt;"Réalisé",0,IF(E96&lt;&gt;"Sexologie",0,IF(K96&lt;&gt;"Oui",0,IF(AND(B96&gt;=Parametres!$B$2,B96&lt;=Parametres!$B$3),Parametres!$B$5,0)))))</f>
        <v/>
      </c>
      <c r="M96" s="11">
        <f>IF(A96="","",IF(I96="Réalisé",ROUND(H96*J96,2),0))</f>
        <v/>
      </c>
      <c r="N96" s="11">
        <f>IF(A96="","",ROUND(M96*L96,2))</f>
        <v/>
      </c>
      <c r="O96" s="11">
        <f>IF(A96="","",ROUND(M96-N96,2))</f>
        <v/>
      </c>
      <c r="P96" s="8"/>
      <c r="Q96" s="8"/>
      <c r="R96" s="13">
        <f>IF(A96="","",IF(I96="Réalisé",H96,0))</f>
        <v/>
      </c>
      <c r="S96" s="9">
        <f>IF(A96="","",IF(COUNTIF($A$2:$A$301,A96)&gt;1,"DOUBLON RDV",IF(COUNTIF(Clients!$A$2:$A$51,C96)&lt;&gt;1,"Client à corriger",IF(COUNTIF(Services!$A$2:$A$4,E96)&lt;&gt;1,"Service à corriger",IF(OR(NOT(ISNUMBER(B96)),G96&lt;=0,H96&lt;0,COUNTIF(ListeStatuts,I96)&lt;&gt;1,COUNTIF(ListeFactures,P96)&lt;&gt;1),"Saisie à corriger",IF(AND(I96="Réalisé",OR(H96&lt;=0,B96&gt;Parametres!$B$7)),"Réalisation à vérifier",IF(AND(P96="Émise",OR(Q96="",I96&lt;&gt;"Réalisé")),"Facture à corriger",IF(AND(Q96&lt;&gt;"",COUNTIF($Q$2:$Q$301,Q96)&gt;1),"DOUBLON FACTURE",IF(AND(I96="Réalisé",ABS(G96-H96)&gt;0.001,T96=""),"Écart heures","OK")))))))))</f>
        <v/>
      </c>
      <c r="T96" s="8"/>
    </row>
    <row r="97" spans="1:20" ht="22" customHeight="1">
      <c r="A97" s="8"/>
      <c r="B97" s="6"/>
      <c r="C97" s="8"/>
      <c r="D97" s="9">
        <f>IF(C97="","",IFERROR(VLOOKUP(C97,Clients!$A$2:$M$51,12,FALSE),"CLIENT INCONNU"))</f>
        <v/>
      </c>
      <c r="E97" s="8"/>
      <c r="F97" s="9">
        <f>IF(E97="","",IFERROR(VLOOKUP(E97,Services!$A$2:$D$4,2,FALSE),"SERVICE INCONNU"))</f>
        <v/>
      </c>
      <c r="G97" s="8"/>
      <c r="H97" s="8"/>
      <c r="I97" s="8"/>
      <c r="J97" s="11">
        <f>IF(E97="","",IFERROR(VLOOKUP(E97,Services!$A$2:$D$4,3,FALSE),0))</f>
        <v/>
      </c>
      <c r="K97" s="9">
        <f>IF(C97="","",IFERROR(VLOOKUP(C97,Clients!$A$2:$M$51,11,FALSE),"Non"))</f>
        <v/>
      </c>
      <c r="L97" s="12">
        <f>IF(A97="","",IF(I97&lt;&gt;"Réalisé",0,IF(E97&lt;&gt;"Sexologie",0,IF(K97&lt;&gt;"Oui",0,IF(AND(B97&gt;=Parametres!$B$2,B97&lt;=Parametres!$B$3),Parametres!$B$5,0)))))</f>
        <v/>
      </c>
      <c r="M97" s="11">
        <f>IF(A97="","",IF(I97="Réalisé",ROUND(H97*J97,2),0))</f>
        <v/>
      </c>
      <c r="N97" s="11">
        <f>IF(A97="","",ROUND(M97*L97,2))</f>
        <v/>
      </c>
      <c r="O97" s="11">
        <f>IF(A97="","",ROUND(M97-N97,2))</f>
        <v/>
      </c>
      <c r="P97" s="8"/>
      <c r="Q97" s="8"/>
      <c r="R97" s="13">
        <f>IF(A97="","",IF(I97="Réalisé",H97,0))</f>
        <v/>
      </c>
      <c r="S97" s="9">
        <f>IF(A97="","",IF(COUNTIF($A$2:$A$301,A97)&gt;1,"DOUBLON RDV",IF(COUNTIF(Clients!$A$2:$A$51,C97)&lt;&gt;1,"Client à corriger",IF(COUNTIF(Services!$A$2:$A$4,E97)&lt;&gt;1,"Service à corriger",IF(OR(NOT(ISNUMBER(B97)),G97&lt;=0,H97&lt;0,COUNTIF(ListeStatuts,I97)&lt;&gt;1,COUNTIF(ListeFactures,P97)&lt;&gt;1),"Saisie à corriger",IF(AND(I97="Réalisé",OR(H97&lt;=0,B97&gt;Parametres!$B$7)),"Réalisation à vérifier",IF(AND(P97="Émise",OR(Q97="",I97&lt;&gt;"Réalisé")),"Facture à corriger",IF(AND(Q97&lt;&gt;"",COUNTIF($Q$2:$Q$301,Q97)&gt;1),"DOUBLON FACTURE",IF(AND(I97="Réalisé",ABS(G97-H97)&gt;0.001,T97=""),"Écart heures","OK")))))))))</f>
        <v/>
      </c>
      <c r="T97" s="8"/>
    </row>
    <row r="98" spans="1:20" ht="22" customHeight="1">
      <c r="A98" s="8"/>
      <c r="B98" s="6"/>
      <c r="C98" s="8"/>
      <c r="D98" s="9">
        <f>IF(C98="","",IFERROR(VLOOKUP(C98,Clients!$A$2:$M$51,12,FALSE),"CLIENT INCONNU"))</f>
        <v/>
      </c>
      <c r="E98" s="8"/>
      <c r="F98" s="9">
        <f>IF(E98="","",IFERROR(VLOOKUP(E98,Services!$A$2:$D$4,2,FALSE),"SERVICE INCONNU"))</f>
        <v/>
      </c>
      <c r="G98" s="8"/>
      <c r="H98" s="8"/>
      <c r="I98" s="8"/>
      <c r="J98" s="11">
        <f>IF(E98="","",IFERROR(VLOOKUP(E98,Services!$A$2:$D$4,3,FALSE),0))</f>
        <v/>
      </c>
      <c r="K98" s="9">
        <f>IF(C98="","",IFERROR(VLOOKUP(C98,Clients!$A$2:$M$51,11,FALSE),"Non"))</f>
        <v/>
      </c>
      <c r="L98" s="12">
        <f>IF(A98="","",IF(I98&lt;&gt;"Réalisé",0,IF(E98&lt;&gt;"Sexologie",0,IF(K98&lt;&gt;"Oui",0,IF(AND(B98&gt;=Parametres!$B$2,B98&lt;=Parametres!$B$3),Parametres!$B$5,0)))))</f>
        <v/>
      </c>
      <c r="M98" s="11">
        <f>IF(A98="","",IF(I98="Réalisé",ROUND(H98*J98,2),0))</f>
        <v/>
      </c>
      <c r="N98" s="11">
        <f>IF(A98="","",ROUND(M98*L98,2))</f>
        <v/>
      </c>
      <c r="O98" s="11">
        <f>IF(A98="","",ROUND(M98-N98,2))</f>
        <v/>
      </c>
      <c r="P98" s="8"/>
      <c r="Q98" s="8"/>
      <c r="R98" s="13">
        <f>IF(A98="","",IF(I98="Réalisé",H98,0))</f>
        <v/>
      </c>
      <c r="S98" s="9">
        <f>IF(A98="","",IF(COUNTIF($A$2:$A$301,A98)&gt;1,"DOUBLON RDV",IF(COUNTIF(Clients!$A$2:$A$51,C98)&lt;&gt;1,"Client à corriger",IF(COUNTIF(Services!$A$2:$A$4,E98)&lt;&gt;1,"Service à corriger",IF(OR(NOT(ISNUMBER(B98)),G98&lt;=0,H98&lt;0,COUNTIF(ListeStatuts,I98)&lt;&gt;1,COUNTIF(ListeFactures,P98)&lt;&gt;1),"Saisie à corriger",IF(AND(I98="Réalisé",OR(H98&lt;=0,B98&gt;Parametres!$B$7)),"Réalisation à vérifier",IF(AND(P98="Émise",OR(Q98="",I98&lt;&gt;"Réalisé")),"Facture à corriger",IF(AND(Q98&lt;&gt;"",COUNTIF($Q$2:$Q$301,Q98)&gt;1),"DOUBLON FACTURE",IF(AND(I98="Réalisé",ABS(G98-H98)&gt;0.001,T98=""),"Écart heures","OK")))))))))</f>
        <v/>
      </c>
      <c r="T98" s="8"/>
    </row>
    <row r="99" spans="1:20" ht="22" customHeight="1">
      <c r="A99" s="8"/>
      <c r="B99" s="6"/>
      <c r="C99" s="8"/>
      <c r="D99" s="9">
        <f>IF(C99="","",IFERROR(VLOOKUP(C99,Clients!$A$2:$M$51,12,FALSE),"CLIENT INCONNU"))</f>
        <v/>
      </c>
      <c r="E99" s="8"/>
      <c r="F99" s="9">
        <f>IF(E99="","",IFERROR(VLOOKUP(E99,Services!$A$2:$D$4,2,FALSE),"SERVICE INCONNU"))</f>
        <v/>
      </c>
      <c r="G99" s="8"/>
      <c r="H99" s="8"/>
      <c r="I99" s="8"/>
      <c r="J99" s="11">
        <f>IF(E99="","",IFERROR(VLOOKUP(E99,Services!$A$2:$D$4,3,FALSE),0))</f>
        <v/>
      </c>
      <c r="K99" s="9">
        <f>IF(C99="","",IFERROR(VLOOKUP(C99,Clients!$A$2:$M$51,11,FALSE),"Non"))</f>
        <v/>
      </c>
      <c r="L99" s="12">
        <f>IF(A99="","",IF(I99&lt;&gt;"Réalisé",0,IF(E99&lt;&gt;"Sexologie",0,IF(K99&lt;&gt;"Oui",0,IF(AND(B99&gt;=Parametres!$B$2,B99&lt;=Parametres!$B$3),Parametres!$B$5,0)))))</f>
        <v/>
      </c>
      <c r="M99" s="11">
        <f>IF(A99="","",IF(I99="Réalisé",ROUND(H99*J99,2),0))</f>
        <v/>
      </c>
      <c r="N99" s="11">
        <f>IF(A99="","",ROUND(M99*L99,2))</f>
        <v/>
      </c>
      <c r="O99" s="11">
        <f>IF(A99="","",ROUND(M99-N99,2))</f>
        <v/>
      </c>
      <c r="P99" s="8"/>
      <c r="Q99" s="8"/>
      <c r="R99" s="13">
        <f>IF(A99="","",IF(I99="Réalisé",H99,0))</f>
        <v/>
      </c>
      <c r="S99" s="9">
        <f>IF(A99="","",IF(COUNTIF($A$2:$A$301,A99)&gt;1,"DOUBLON RDV",IF(COUNTIF(Clients!$A$2:$A$51,C99)&lt;&gt;1,"Client à corriger",IF(COUNTIF(Services!$A$2:$A$4,E99)&lt;&gt;1,"Service à corriger",IF(OR(NOT(ISNUMBER(B99)),G99&lt;=0,H99&lt;0,COUNTIF(ListeStatuts,I99)&lt;&gt;1,COUNTIF(ListeFactures,P99)&lt;&gt;1),"Saisie à corriger",IF(AND(I99="Réalisé",OR(H99&lt;=0,B99&gt;Parametres!$B$7)),"Réalisation à vérifier",IF(AND(P99="Émise",OR(Q99="",I99&lt;&gt;"Réalisé")),"Facture à corriger",IF(AND(Q99&lt;&gt;"",COUNTIF($Q$2:$Q$301,Q99)&gt;1),"DOUBLON FACTURE",IF(AND(I99="Réalisé",ABS(G99-H99)&gt;0.001,T99=""),"Écart heures","OK")))))))))</f>
        <v/>
      </c>
      <c r="T99" s="8"/>
    </row>
    <row r="100" spans="1:20" ht="22" customHeight="1">
      <c r="A100" s="8"/>
      <c r="B100" s="6"/>
      <c r="C100" s="8"/>
      <c r="D100" s="9">
        <f>IF(C100="","",IFERROR(VLOOKUP(C100,Clients!$A$2:$M$51,12,FALSE),"CLIENT INCONNU"))</f>
        <v/>
      </c>
      <c r="E100" s="8"/>
      <c r="F100" s="9">
        <f>IF(E100="","",IFERROR(VLOOKUP(E100,Services!$A$2:$D$4,2,FALSE),"SERVICE INCONNU"))</f>
        <v/>
      </c>
      <c r="G100" s="8"/>
      <c r="H100" s="8"/>
      <c r="I100" s="8"/>
      <c r="J100" s="11">
        <f>IF(E100="","",IFERROR(VLOOKUP(E100,Services!$A$2:$D$4,3,FALSE),0))</f>
        <v/>
      </c>
      <c r="K100" s="9">
        <f>IF(C100="","",IFERROR(VLOOKUP(C100,Clients!$A$2:$M$51,11,FALSE),"Non"))</f>
        <v/>
      </c>
      <c r="L100" s="12">
        <f>IF(A100="","",IF(I100&lt;&gt;"Réalisé",0,IF(E100&lt;&gt;"Sexologie",0,IF(K100&lt;&gt;"Oui",0,IF(AND(B100&gt;=Parametres!$B$2,B100&lt;=Parametres!$B$3),Parametres!$B$5,0)))))</f>
        <v/>
      </c>
      <c r="M100" s="11">
        <f>IF(A100="","",IF(I100="Réalisé",ROUND(H100*J100,2),0))</f>
        <v/>
      </c>
      <c r="N100" s="11">
        <f>IF(A100="","",ROUND(M100*L100,2))</f>
        <v/>
      </c>
      <c r="O100" s="11">
        <f>IF(A100="","",ROUND(M100-N100,2))</f>
        <v/>
      </c>
      <c r="P100" s="8"/>
      <c r="Q100" s="8"/>
      <c r="R100" s="13">
        <f>IF(A100="","",IF(I100="Réalisé",H100,0))</f>
        <v/>
      </c>
      <c r="S100" s="9">
        <f>IF(A100="","",IF(COUNTIF($A$2:$A$301,A100)&gt;1,"DOUBLON RDV",IF(COUNTIF(Clients!$A$2:$A$51,C100)&lt;&gt;1,"Client à corriger",IF(COUNTIF(Services!$A$2:$A$4,E100)&lt;&gt;1,"Service à corriger",IF(OR(NOT(ISNUMBER(B100)),G100&lt;=0,H100&lt;0,COUNTIF(ListeStatuts,I100)&lt;&gt;1,COUNTIF(ListeFactures,P100)&lt;&gt;1),"Saisie à corriger",IF(AND(I100="Réalisé",OR(H100&lt;=0,B100&gt;Parametres!$B$7)),"Réalisation à vérifier",IF(AND(P100="Émise",OR(Q100="",I100&lt;&gt;"Réalisé")),"Facture à corriger",IF(AND(Q100&lt;&gt;"",COUNTIF($Q$2:$Q$301,Q100)&gt;1),"DOUBLON FACTURE",IF(AND(I100="Réalisé",ABS(G100-H100)&gt;0.001,T100=""),"Écart heures","OK")))))))))</f>
        <v/>
      </c>
      <c r="T100" s="8"/>
    </row>
    <row r="101" spans="1:20" ht="22" customHeight="1">
      <c r="A101" s="8"/>
      <c r="B101" s="6"/>
      <c r="C101" s="8"/>
      <c r="D101" s="9">
        <f>IF(C101="","",IFERROR(VLOOKUP(C101,Clients!$A$2:$M$51,12,FALSE),"CLIENT INCONNU"))</f>
        <v/>
      </c>
      <c r="E101" s="8"/>
      <c r="F101" s="9">
        <f>IF(E101="","",IFERROR(VLOOKUP(E101,Services!$A$2:$D$4,2,FALSE),"SERVICE INCONNU"))</f>
        <v/>
      </c>
      <c r="G101" s="8"/>
      <c r="H101" s="8"/>
      <c r="I101" s="8"/>
      <c r="J101" s="11">
        <f>IF(E101="","",IFERROR(VLOOKUP(E101,Services!$A$2:$D$4,3,FALSE),0))</f>
        <v/>
      </c>
      <c r="K101" s="9">
        <f>IF(C101="","",IFERROR(VLOOKUP(C101,Clients!$A$2:$M$51,11,FALSE),"Non"))</f>
        <v/>
      </c>
      <c r="L101" s="12">
        <f>IF(A101="","",IF(I101&lt;&gt;"Réalisé",0,IF(E101&lt;&gt;"Sexologie",0,IF(K101&lt;&gt;"Oui",0,IF(AND(B101&gt;=Parametres!$B$2,B101&lt;=Parametres!$B$3),Parametres!$B$5,0)))))</f>
        <v/>
      </c>
      <c r="M101" s="11">
        <f>IF(A101="","",IF(I101="Réalisé",ROUND(H101*J101,2),0))</f>
        <v/>
      </c>
      <c r="N101" s="11">
        <f>IF(A101="","",ROUND(M101*L101,2))</f>
        <v/>
      </c>
      <c r="O101" s="11">
        <f>IF(A101="","",ROUND(M101-N101,2))</f>
        <v/>
      </c>
      <c r="P101" s="8"/>
      <c r="Q101" s="8"/>
      <c r="R101" s="13">
        <f>IF(A101="","",IF(I101="Réalisé",H101,0))</f>
        <v/>
      </c>
      <c r="S101" s="9">
        <f>IF(A101="","",IF(COUNTIF($A$2:$A$301,A101)&gt;1,"DOUBLON RDV",IF(COUNTIF(Clients!$A$2:$A$51,C101)&lt;&gt;1,"Client à corriger",IF(COUNTIF(Services!$A$2:$A$4,E101)&lt;&gt;1,"Service à corriger",IF(OR(NOT(ISNUMBER(B101)),G101&lt;=0,H101&lt;0,COUNTIF(ListeStatuts,I101)&lt;&gt;1,COUNTIF(ListeFactures,P101)&lt;&gt;1),"Saisie à corriger",IF(AND(I101="Réalisé",OR(H101&lt;=0,B101&gt;Parametres!$B$7)),"Réalisation à vérifier",IF(AND(P101="Émise",OR(Q101="",I101&lt;&gt;"Réalisé")),"Facture à corriger",IF(AND(Q101&lt;&gt;"",COUNTIF($Q$2:$Q$301,Q101)&gt;1),"DOUBLON FACTURE",IF(AND(I101="Réalisé",ABS(G101-H101)&gt;0.001,T101=""),"Écart heures","OK")))))))))</f>
        <v/>
      </c>
      <c r="T101" s="8"/>
    </row>
    <row r="102" spans="1:20" ht="22" customHeight="1">
      <c r="A102" s="8"/>
      <c r="B102" s="6"/>
      <c r="C102" s="8"/>
      <c r="D102" s="9">
        <f>IF(C102="","",IFERROR(VLOOKUP(C102,Clients!$A$2:$M$51,12,FALSE),"CLIENT INCONNU"))</f>
        <v/>
      </c>
      <c r="E102" s="8"/>
      <c r="F102" s="9">
        <f>IF(E102="","",IFERROR(VLOOKUP(E102,Services!$A$2:$D$4,2,FALSE),"SERVICE INCONNU"))</f>
        <v/>
      </c>
      <c r="G102" s="8"/>
      <c r="H102" s="8"/>
      <c r="I102" s="8"/>
      <c r="J102" s="11">
        <f>IF(E102="","",IFERROR(VLOOKUP(E102,Services!$A$2:$D$4,3,FALSE),0))</f>
        <v/>
      </c>
      <c r="K102" s="9">
        <f>IF(C102="","",IFERROR(VLOOKUP(C102,Clients!$A$2:$M$51,11,FALSE),"Non"))</f>
        <v/>
      </c>
      <c r="L102" s="12">
        <f>IF(A102="","",IF(I102&lt;&gt;"Réalisé",0,IF(E102&lt;&gt;"Sexologie",0,IF(K102&lt;&gt;"Oui",0,IF(AND(B102&gt;=Parametres!$B$2,B102&lt;=Parametres!$B$3),Parametres!$B$5,0)))))</f>
        <v/>
      </c>
      <c r="M102" s="11">
        <f>IF(A102="","",IF(I102="Réalisé",ROUND(H102*J102,2),0))</f>
        <v/>
      </c>
      <c r="N102" s="11">
        <f>IF(A102="","",ROUND(M102*L102,2))</f>
        <v/>
      </c>
      <c r="O102" s="11">
        <f>IF(A102="","",ROUND(M102-N102,2))</f>
        <v/>
      </c>
      <c r="P102" s="8"/>
      <c r="Q102" s="8"/>
      <c r="R102" s="13">
        <f>IF(A102="","",IF(I102="Réalisé",H102,0))</f>
        <v/>
      </c>
      <c r="S102" s="9">
        <f>IF(A102="","",IF(COUNTIF($A$2:$A$301,A102)&gt;1,"DOUBLON RDV",IF(COUNTIF(Clients!$A$2:$A$51,C102)&lt;&gt;1,"Client à corriger",IF(COUNTIF(Services!$A$2:$A$4,E102)&lt;&gt;1,"Service à corriger",IF(OR(NOT(ISNUMBER(B102)),G102&lt;=0,H102&lt;0,COUNTIF(ListeStatuts,I102)&lt;&gt;1,COUNTIF(ListeFactures,P102)&lt;&gt;1),"Saisie à corriger",IF(AND(I102="Réalisé",OR(H102&lt;=0,B102&gt;Parametres!$B$7)),"Réalisation à vérifier",IF(AND(P102="Émise",OR(Q102="",I102&lt;&gt;"Réalisé")),"Facture à corriger",IF(AND(Q102&lt;&gt;"",COUNTIF($Q$2:$Q$301,Q102)&gt;1),"DOUBLON FACTURE",IF(AND(I102="Réalisé",ABS(G102-H102)&gt;0.001,T102=""),"Écart heures","OK")))))))))</f>
        <v/>
      </c>
      <c r="T102" s="8"/>
    </row>
    <row r="103" spans="1:20" ht="22" customHeight="1">
      <c r="A103" s="8"/>
      <c r="B103" s="6"/>
      <c r="C103" s="8"/>
      <c r="D103" s="9">
        <f>IF(C103="","",IFERROR(VLOOKUP(C103,Clients!$A$2:$M$51,12,FALSE),"CLIENT INCONNU"))</f>
        <v/>
      </c>
      <c r="E103" s="8"/>
      <c r="F103" s="9">
        <f>IF(E103="","",IFERROR(VLOOKUP(E103,Services!$A$2:$D$4,2,FALSE),"SERVICE INCONNU"))</f>
        <v/>
      </c>
      <c r="G103" s="8"/>
      <c r="H103" s="8"/>
      <c r="I103" s="8"/>
      <c r="J103" s="11">
        <f>IF(E103="","",IFERROR(VLOOKUP(E103,Services!$A$2:$D$4,3,FALSE),0))</f>
        <v/>
      </c>
      <c r="K103" s="9">
        <f>IF(C103="","",IFERROR(VLOOKUP(C103,Clients!$A$2:$M$51,11,FALSE),"Non"))</f>
        <v/>
      </c>
      <c r="L103" s="12">
        <f>IF(A103="","",IF(I103&lt;&gt;"Réalisé",0,IF(E103&lt;&gt;"Sexologie",0,IF(K103&lt;&gt;"Oui",0,IF(AND(B103&gt;=Parametres!$B$2,B103&lt;=Parametres!$B$3),Parametres!$B$5,0)))))</f>
        <v/>
      </c>
      <c r="M103" s="11">
        <f>IF(A103="","",IF(I103="Réalisé",ROUND(H103*J103,2),0))</f>
        <v/>
      </c>
      <c r="N103" s="11">
        <f>IF(A103="","",ROUND(M103*L103,2))</f>
        <v/>
      </c>
      <c r="O103" s="11">
        <f>IF(A103="","",ROUND(M103-N103,2))</f>
        <v/>
      </c>
      <c r="P103" s="8"/>
      <c r="Q103" s="8"/>
      <c r="R103" s="13">
        <f>IF(A103="","",IF(I103="Réalisé",H103,0))</f>
        <v/>
      </c>
      <c r="S103" s="9">
        <f>IF(A103="","",IF(COUNTIF($A$2:$A$301,A103)&gt;1,"DOUBLON RDV",IF(COUNTIF(Clients!$A$2:$A$51,C103)&lt;&gt;1,"Client à corriger",IF(COUNTIF(Services!$A$2:$A$4,E103)&lt;&gt;1,"Service à corriger",IF(OR(NOT(ISNUMBER(B103)),G103&lt;=0,H103&lt;0,COUNTIF(ListeStatuts,I103)&lt;&gt;1,COUNTIF(ListeFactures,P103)&lt;&gt;1),"Saisie à corriger",IF(AND(I103="Réalisé",OR(H103&lt;=0,B103&gt;Parametres!$B$7)),"Réalisation à vérifier",IF(AND(P103="Émise",OR(Q103="",I103&lt;&gt;"Réalisé")),"Facture à corriger",IF(AND(Q103&lt;&gt;"",COUNTIF($Q$2:$Q$301,Q103)&gt;1),"DOUBLON FACTURE",IF(AND(I103="Réalisé",ABS(G103-H103)&gt;0.001,T103=""),"Écart heures","OK")))))))))</f>
        <v/>
      </c>
      <c r="T103" s="8"/>
    </row>
    <row r="104" spans="1:20" ht="22" customHeight="1">
      <c r="A104" s="8"/>
      <c r="B104" s="6"/>
      <c r="C104" s="8"/>
      <c r="D104" s="9">
        <f>IF(C104="","",IFERROR(VLOOKUP(C104,Clients!$A$2:$M$51,12,FALSE),"CLIENT INCONNU"))</f>
        <v/>
      </c>
      <c r="E104" s="8"/>
      <c r="F104" s="9">
        <f>IF(E104="","",IFERROR(VLOOKUP(E104,Services!$A$2:$D$4,2,FALSE),"SERVICE INCONNU"))</f>
        <v/>
      </c>
      <c r="G104" s="8"/>
      <c r="H104" s="8"/>
      <c r="I104" s="8"/>
      <c r="J104" s="11">
        <f>IF(E104="","",IFERROR(VLOOKUP(E104,Services!$A$2:$D$4,3,FALSE),0))</f>
        <v/>
      </c>
      <c r="K104" s="9">
        <f>IF(C104="","",IFERROR(VLOOKUP(C104,Clients!$A$2:$M$51,11,FALSE),"Non"))</f>
        <v/>
      </c>
      <c r="L104" s="12">
        <f>IF(A104="","",IF(I104&lt;&gt;"Réalisé",0,IF(E104&lt;&gt;"Sexologie",0,IF(K104&lt;&gt;"Oui",0,IF(AND(B104&gt;=Parametres!$B$2,B104&lt;=Parametres!$B$3),Parametres!$B$5,0)))))</f>
        <v/>
      </c>
      <c r="M104" s="11">
        <f>IF(A104="","",IF(I104="Réalisé",ROUND(H104*J104,2),0))</f>
        <v/>
      </c>
      <c r="N104" s="11">
        <f>IF(A104="","",ROUND(M104*L104,2))</f>
        <v/>
      </c>
      <c r="O104" s="11">
        <f>IF(A104="","",ROUND(M104-N104,2))</f>
        <v/>
      </c>
      <c r="P104" s="8"/>
      <c r="Q104" s="8"/>
      <c r="R104" s="13">
        <f>IF(A104="","",IF(I104="Réalisé",H104,0))</f>
        <v/>
      </c>
      <c r="S104" s="9">
        <f>IF(A104="","",IF(COUNTIF($A$2:$A$301,A104)&gt;1,"DOUBLON RDV",IF(COUNTIF(Clients!$A$2:$A$51,C104)&lt;&gt;1,"Client à corriger",IF(COUNTIF(Services!$A$2:$A$4,E104)&lt;&gt;1,"Service à corriger",IF(OR(NOT(ISNUMBER(B104)),G104&lt;=0,H104&lt;0,COUNTIF(ListeStatuts,I104)&lt;&gt;1,COUNTIF(ListeFactures,P104)&lt;&gt;1),"Saisie à corriger",IF(AND(I104="Réalisé",OR(H104&lt;=0,B104&gt;Parametres!$B$7)),"Réalisation à vérifier",IF(AND(P104="Émise",OR(Q104="",I104&lt;&gt;"Réalisé")),"Facture à corriger",IF(AND(Q104&lt;&gt;"",COUNTIF($Q$2:$Q$301,Q104)&gt;1),"DOUBLON FACTURE",IF(AND(I104="Réalisé",ABS(G104-H104)&gt;0.001,T104=""),"Écart heures","OK")))))))))</f>
        <v/>
      </c>
      <c r="T104" s="8"/>
    </row>
    <row r="105" spans="1:20" ht="22" customHeight="1">
      <c r="A105" s="8"/>
      <c r="B105" s="6"/>
      <c r="C105" s="8"/>
      <c r="D105" s="9">
        <f>IF(C105="","",IFERROR(VLOOKUP(C105,Clients!$A$2:$M$51,12,FALSE),"CLIENT INCONNU"))</f>
        <v/>
      </c>
      <c r="E105" s="8"/>
      <c r="F105" s="9">
        <f>IF(E105="","",IFERROR(VLOOKUP(E105,Services!$A$2:$D$4,2,FALSE),"SERVICE INCONNU"))</f>
        <v/>
      </c>
      <c r="G105" s="8"/>
      <c r="H105" s="8"/>
      <c r="I105" s="8"/>
      <c r="J105" s="11">
        <f>IF(E105="","",IFERROR(VLOOKUP(E105,Services!$A$2:$D$4,3,FALSE),0))</f>
        <v/>
      </c>
      <c r="K105" s="9">
        <f>IF(C105="","",IFERROR(VLOOKUP(C105,Clients!$A$2:$M$51,11,FALSE),"Non"))</f>
        <v/>
      </c>
      <c r="L105" s="12">
        <f>IF(A105="","",IF(I105&lt;&gt;"Réalisé",0,IF(E105&lt;&gt;"Sexologie",0,IF(K105&lt;&gt;"Oui",0,IF(AND(B105&gt;=Parametres!$B$2,B105&lt;=Parametres!$B$3),Parametres!$B$5,0)))))</f>
        <v/>
      </c>
      <c r="M105" s="11">
        <f>IF(A105="","",IF(I105="Réalisé",ROUND(H105*J105,2),0))</f>
        <v/>
      </c>
      <c r="N105" s="11">
        <f>IF(A105="","",ROUND(M105*L105,2))</f>
        <v/>
      </c>
      <c r="O105" s="11">
        <f>IF(A105="","",ROUND(M105-N105,2))</f>
        <v/>
      </c>
      <c r="P105" s="8"/>
      <c r="Q105" s="8"/>
      <c r="R105" s="13">
        <f>IF(A105="","",IF(I105="Réalisé",H105,0))</f>
        <v/>
      </c>
      <c r="S105" s="9">
        <f>IF(A105="","",IF(COUNTIF($A$2:$A$301,A105)&gt;1,"DOUBLON RDV",IF(COUNTIF(Clients!$A$2:$A$51,C105)&lt;&gt;1,"Client à corriger",IF(COUNTIF(Services!$A$2:$A$4,E105)&lt;&gt;1,"Service à corriger",IF(OR(NOT(ISNUMBER(B105)),G105&lt;=0,H105&lt;0,COUNTIF(ListeStatuts,I105)&lt;&gt;1,COUNTIF(ListeFactures,P105)&lt;&gt;1),"Saisie à corriger",IF(AND(I105="Réalisé",OR(H105&lt;=0,B105&gt;Parametres!$B$7)),"Réalisation à vérifier",IF(AND(P105="Émise",OR(Q105="",I105&lt;&gt;"Réalisé")),"Facture à corriger",IF(AND(Q105&lt;&gt;"",COUNTIF($Q$2:$Q$301,Q105)&gt;1),"DOUBLON FACTURE",IF(AND(I105="Réalisé",ABS(G105-H105)&gt;0.001,T105=""),"Écart heures","OK")))))))))</f>
        <v/>
      </c>
      <c r="T105" s="8"/>
    </row>
    <row r="106" spans="1:20" ht="22" customHeight="1">
      <c r="A106" s="8"/>
      <c r="B106" s="6"/>
      <c r="C106" s="8"/>
      <c r="D106" s="9">
        <f>IF(C106="","",IFERROR(VLOOKUP(C106,Clients!$A$2:$M$51,12,FALSE),"CLIENT INCONNU"))</f>
        <v/>
      </c>
      <c r="E106" s="8"/>
      <c r="F106" s="9">
        <f>IF(E106="","",IFERROR(VLOOKUP(E106,Services!$A$2:$D$4,2,FALSE),"SERVICE INCONNU"))</f>
        <v/>
      </c>
      <c r="G106" s="8"/>
      <c r="H106" s="8"/>
      <c r="I106" s="8"/>
      <c r="J106" s="11">
        <f>IF(E106="","",IFERROR(VLOOKUP(E106,Services!$A$2:$D$4,3,FALSE),0))</f>
        <v/>
      </c>
      <c r="K106" s="9">
        <f>IF(C106="","",IFERROR(VLOOKUP(C106,Clients!$A$2:$M$51,11,FALSE),"Non"))</f>
        <v/>
      </c>
      <c r="L106" s="12">
        <f>IF(A106="","",IF(I106&lt;&gt;"Réalisé",0,IF(E106&lt;&gt;"Sexologie",0,IF(K106&lt;&gt;"Oui",0,IF(AND(B106&gt;=Parametres!$B$2,B106&lt;=Parametres!$B$3),Parametres!$B$5,0)))))</f>
        <v/>
      </c>
      <c r="M106" s="11">
        <f>IF(A106="","",IF(I106="Réalisé",ROUND(H106*J106,2),0))</f>
        <v/>
      </c>
      <c r="N106" s="11">
        <f>IF(A106="","",ROUND(M106*L106,2))</f>
        <v/>
      </c>
      <c r="O106" s="11">
        <f>IF(A106="","",ROUND(M106-N106,2))</f>
        <v/>
      </c>
      <c r="P106" s="8"/>
      <c r="Q106" s="8"/>
      <c r="R106" s="13">
        <f>IF(A106="","",IF(I106="Réalisé",H106,0))</f>
        <v/>
      </c>
      <c r="S106" s="9">
        <f>IF(A106="","",IF(COUNTIF($A$2:$A$301,A106)&gt;1,"DOUBLON RDV",IF(COUNTIF(Clients!$A$2:$A$51,C106)&lt;&gt;1,"Client à corriger",IF(COUNTIF(Services!$A$2:$A$4,E106)&lt;&gt;1,"Service à corriger",IF(OR(NOT(ISNUMBER(B106)),G106&lt;=0,H106&lt;0,COUNTIF(ListeStatuts,I106)&lt;&gt;1,COUNTIF(ListeFactures,P106)&lt;&gt;1),"Saisie à corriger",IF(AND(I106="Réalisé",OR(H106&lt;=0,B106&gt;Parametres!$B$7)),"Réalisation à vérifier",IF(AND(P106="Émise",OR(Q106="",I106&lt;&gt;"Réalisé")),"Facture à corriger",IF(AND(Q106&lt;&gt;"",COUNTIF($Q$2:$Q$301,Q106)&gt;1),"DOUBLON FACTURE",IF(AND(I106="Réalisé",ABS(G106-H106)&gt;0.001,T106=""),"Écart heures","OK")))))))))</f>
        <v/>
      </c>
      <c r="T106" s="8"/>
    </row>
    <row r="107" spans="1:20" ht="22" customHeight="1">
      <c r="A107" s="8"/>
      <c r="B107" s="6"/>
      <c r="C107" s="8"/>
      <c r="D107" s="9">
        <f>IF(C107="","",IFERROR(VLOOKUP(C107,Clients!$A$2:$M$51,12,FALSE),"CLIENT INCONNU"))</f>
        <v/>
      </c>
      <c r="E107" s="8"/>
      <c r="F107" s="9">
        <f>IF(E107="","",IFERROR(VLOOKUP(E107,Services!$A$2:$D$4,2,FALSE),"SERVICE INCONNU"))</f>
        <v/>
      </c>
      <c r="G107" s="8"/>
      <c r="H107" s="8"/>
      <c r="I107" s="8"/>
      <c r="J107" s="11">
        <f>IF(E107="","",IFERROR(VLOOKUP(E107,Services!$A$2:$D$4,3,FALSE),0))</f>
        <v/>
      </c>
      <c r="K107" s="9">
        <f>IF(C107="","",IFERROR(VLOOKUP(C107,Clients!$A$2:$M$51,11,FALSE),"Non"))</f>
        <v/>
      </c>
      <c r="L107" s="12">
        <f>IF(A107="","",IF(I107&lt;&gt;"Réalisé",0,IF(E107&lt;&gt;"Sexologie",0,IF(K107&lt;&gt;"Oui",0,IF(AND(B107&gt;=Parametres!$B$2,B107&lt;=Parametres!$B$3),Parametres!$B$5,0)))))</f>
        <v/>
      </c>
      <c r="M107" s="11">
        <f>IF(A107="","",IF(I107="Réalisé",ROUND(H107*J107,2),0))</f>
        <v/>
      </c>
      <c r="N107" s="11">
        <f>IF(A107="","",ROUND(M107*L107,2))</f>
        <v/>
      </c>
      <c r="O107" s="11">
        <f>IF(A107="","",ROUND(M107-N107,2))</f>
        <v/>
      </c>
      <c r="P107" s="8"/>
      <c r="Q107" s="8"/>
      <c r="R107" s="13">
        <f>IF(A107="","",IF(I107="Réalisé",H107,0))</f>
        <v/>
      </c>
      <c r="S107" s="9">
        <f>IF(A107="","",IF(COUNTIF($A$2:$A$301,A107)&gt;1,"DOUBLON RDV",IF(COUNTIF(Clients!$A$2:$A$51,C107)&lt;&gt;1,"Client à corriger",IF(COUNTIF(Services!$A$2:$A$4,E107)&lt;&gt;1,"Service à corriger",IF(OR(NOT(ISNUMBER(B107)),G107&lt;=0,H107&lt;0,COUNTIF(ListeStatuts,I107)&lt;&gt;1,COUNTIF(ListeFactures,P107)&lt;&gt;1),"Saisie à corriger",IF(AND(I107="Réalisé",OR(H107&lt;=0,B107&gt;Parametres!$B$7)),"Réalisation à vérifier",IF(AND(P107="Émise",OR(Q107="",I107&lt;&gt;"Réalisé")),"Facture à corriger",IF(AND(Q107&lt;&gt;"",COUNTIF($Q$2:$Q$301,Q107)&gt;1),"DOUBLON FACTURE",IF(AND(I107="Réalisé",ABS(G107-H107)&gt;0.001,T107=""),"Écart heures","OK")))))))))</f>
        <v/>
      </c>
      <c r="T107" s="8"/>
    </row>
    <row r="108" spans="1:20" ht="22" customHeight="1">
      <c r="A108" s="8"/>
      <c r="B108" s="6"/>
      <c r="C108" s="8"/>
      <c r="D108" s="9">
        <f>IF(C108="","",IFERROR(VLOOKUP(C108,Clients!$A$2:$M$51,12,FALSE),"CLIENT INCONNU"))</f>
        <v/>
      </c>
      <c r="E108" s="8"/>
      <c r="F108" s="9">
        <f>IF(E108="","",IFERROR(VLOOKUP(E108,Services!$A$2:$D$4,2,FALSE),"SERVICE INCONNU"))</f>
        <v/>
      </c>
      <c r="G108" s="8"/>
      <c r="H108" s="8"/>
      <c r="I108" s="8"/>
      <c r="J108" s="11">
        <f>IF(E108="","",IFERROR(VLOOKUP(E108,Services!$A$2:$D$4,3,FALSE),0))</f>
        <v/>
      </c>
      <c r="K108" s="9">
        <f>IF(C108="","",IFERROR(VLOOKUP(C108,Clients!$A$2:$M$51,11,FALSE),"Non"))</f>
        <v/>
      </c>
      <c r="L108" s="12">
        <f>IF(A108="","",IF(I108&lt;&gt;"Réalisé",0,IF(E108&lt;&gt;"Sexologie",0,IF(K108&lt;&gt;"Oui",0,IF(AND(B108&gt;=Parametres!$B$2,B108&lt;=Parametres!$B$3),Parametres!$B$5,0)))))</f>
        <v/>
      </c>
      <c r="M108" s="11">
        <f>IF(A108="","",IF(I108="Réalisé",ROUND(H108*J108,2),0))</f>
        <v/>
      </c>
      <c r="N108" s="11">
        <f>IF(A108="","",ROUND(M108*L108,2))</f>
        <v/>
      </c>
      <c r="O108" s="11">
        <f>IF(A108="","",ROUND(M108-N108,2))</f>
        <v/>
      </c>
      <c r="P108" s="8"/>
      <c r="Q108" s="8"/>
      <c r="R108" s="13">
        <f>IF(A108="","",IF(I108="Réalisé",H108,0))</f>
        <v/>
      </c>
      <c r="S108" s="9">
        <f>IF(A108="","",IF(COUNTIF($A$2:$A$301,A108)&gt;1,"DOUBLON RDV",IF(COUNTIF(Clients!$A$2:$A$51,C108)&lt;&gt;1,"Client à corriger",IF(COUNTIF(Services!$A$2:$A$4,E108)&lt;&gt;1,"Service à corriger",IF(OR(NOT(ISNUMBER(B108)),G108&lt;=0,H108&lt;0,COUNTIF(ListeStatuts,I108)&lt;&gt;1,COUNTIF(ListeFactures,P108)&lt;&gt;1),"Saisie à corriger",IF(AND(I108="Réalisé",OR(H108&lt;=0,B108&gt;Parametres!$B$7)),"Réalisation à vérifier",IF(AND(P108="Émise",OR(Q108="",I108&lt;&gt;"Réalisé")),"Facture à corriger",IF(AND(Q108&lt;&gt;"",COUNTIF($Q$2:$Q$301,Q108)&gt;1),"DOUBLON FACTURE",IF(AND(I108="Réalisé",ABS(G108-H108)&gt;0.001,T108=""),"Écart heures","OK")))))))))</f>
        <v/>
      </c>
      <c r="T108" s="8"/>
    </row>
    <row r="109" spans="1:20" ht="22" customHeight="1">
      <c r="A109" s="8"/>
      <c r="B109" s="6"/>
      <c r="C109" s="8"/>
      <c r="D109" s="9">
        <f>IF(C109="","",IFERROR(VLOOKUP(C109,Clients!$A$2:$M$51,12,FALSE),"CLIENT INCONNU"))</f>
        <v/>
      </c>
      <c r="E109" s="8"/>
      <c r="F109" s="9">
        <f>IF(E109="","",IFERROR(VLOOKUP(E109,Services!$A$2:$D$4,2,FALSE),"SERVICE INCONNU"))</f>
        <v/>
      </c>
      <c r="G109" s="8"/>
      <c r="H109" s="8"/>
      <c r="I109" s="8"/>
      <c r="J109" s="11">
        <f>IF(E109="","",IFERROR(VLOOKUP(E109,Services!$A$2:$D$4,3,FALSE),0))</f>
        <v/>
      </c>
      <c r="K109" s="9">
        <f>IF(C109="","",IFERROR(VLOOKUP(C109,Clients!$A$2:$M$51,11,FALSE),"Non"))</f>
        <v/>
      </c>
      <c r="L109" s="12">
        <f>IF(A109="","",IF(I109&lt;&gt;"Réalisé",0,IF(E109&lt;&gt;"Sexologie",0,IF(K109&lt;&gt;"Oui",0,IF(AND(B109&gt;=Parametres!$B$2,B109&lt;=Parametres!$B$3),Parametres!$B$5,0)))))</f>
        <v/>
      </c>
      <c r="M109" s="11">
        <f>IF(A109="","",IF(I109="Réalisé",ROUND(H109*J109,2),0))</f>
        <v/>
      </c>
      <c r="N109" s="11">
        <f>IF(A109="","",ROUND(M109*L109,2))</f>
        <v/>
      </c>
      <c r="O109" s="11">
        <f>IF(A109="","",ROUND(M109-N109,2))</f>
        <v/>
      </c>
      <c r="P109" s="8"/>
      <c r="Q109" s="8"/>
      <c r="R109" s="13">
        <f>IF(A109="","",IF(I109="Réalisé",H109,0))</f>
        <v/>
      </c>
      <c r="S109" s="9">
        <f>IF(A109="","",IF(COUNTIF($A$2:$A$301,A109)&gt;1,"DOUBLON RDV",IF(COUNTIF(Clients!$A$2:$A$51,C109)&lt;&gt;1,"Client à corriger",IF(COUNTIF(Services!$A$2:$A$4,E109)&lt;&gt;1,"Service à corriger",IF(OR(NOT(ISNUMBER(B109)),G109&lt;=0,H109&lt;0,COUNTIF(ListeStatuts,I109)&lt;&gt;1,COUNTIF(ListeFactures,P109)&lt;&gt;1),"Saisie à corriger",IF(AND(I109="Réalisé",OR(H109&lt;=0,B109&gt;Parametres!$B$7)),"Réalisation à vérifier",IF(AND(P109="Émise",OR(Q109="",I109&lt;&gt;"Réalisé")),"Facture à corriger",IF(AND(Q109&lt;&gt;"",COUNTIF($Q$2:$Q$301,Q109)&gt;1),"DOUBLON FACTURE",IF(AND(I109="Réalisé",ABS(G109-H109)&gt;0.001,T109=""),"Écart heures","OK")))))))))</f>
        <v/>
      </c>
      <c r="T109" s="8"/>
    </row>
    <row r="110" spans="1:20" ht="22" customHeight="1">
      <c r="A110" s="8"/>
      <c r="B110" s="6"/>
      <c r="C110" s="8"/>
      <c r="D110" s="9">
        <f>IF(C110="","",IFERROR(VLOOKUP(C110,Clients!$A$2:$M$51,12,FALSE),"CLIENT INCONNU"))</f>
        <v/>
      </c>
      <c r="E110" s="8"/>
      <c r="F110" s="9">
        <f>IF(E110="","",IFERROR(VLOOKUP(E110,Services!$A$2:$D$4,2,FALSE),"SERVICE INCONNU"))</f>
        <v/>
      </c>
      <c r="G110" s="8"/>
      <c r="H110" s="8"/>
      <c r="I110" s="8"/>
      <c r="J110" s="11">
        <f>IF(E110="","",IFERROR(VLOOKUP(E110,Services!$A$2:$D$4,3,FALSE),0))</f>
        <v/>
      </c>
      <c r="K110" s="9">
        <f>IF(C110="","",IFERROR(VLOOKUP(C110,Clients!$A$2:$M$51,11,FALSE),"Non"))</f>
        <v/>
      </c>
      <c r="L110" s="12">
        <f>IF(A110="","",IF(I110&lt;&gt;"Réalisé",0,IF(E110&lt;&gt;"Sexologie",0,IF(K110&lt;&gt;"Oui",0,IF(AND(B110&gt;=Parametres!$B$2,B110&lt;=Parametres!$B$3),Parametres!$B$5,0)))))</f>
        <v/>
      </c>
      <c r="M110" s="11">
        <f>IF(A110="","",IF(I110="Réalisé",ROUND(H110*J110,2),0))</f>
        <v/>
      </c>
      <c r="N110" s="11">
        <f>IF(A110="","",ROUND(M110*L110,2))</f>
        <v/>
      </c>
      <c r="O110" s="11">
        <f>IF(A110="","",ROUND(M110-N110,2))</f>
        <v/>
      </c>
      <c r="P110" s="8"/>
      <c r="Q110" s="8"/>
      <c r="R110" s="13">
        <f>IF(A110="","",IF(I110="Réalisé",H110,0))</f>
        <v/>
      </c>
      <c r="S110" s="9">
        <f>IF(A110="","",IF(COUNTIF($A$2:$A$301,A110)&gt;1,"DOUBLON RDV",IF(COUNTIF(Clients!$A$2:$A$51,C110)&lt;&gt;1,"Client à corriger",IF(COUNTIF(Services!$A$2:$A$4,E110)&lt;&gt;1,"Service à corriger",IF(OR(NOT(ISNUMBER(B110)),G110&lt;=0,H110&lt;0,COUNTIF(ListeStatuts,I110)&lt;&gt;1,COUNTIF(ListeFactures,P110)&lt;&gt;1),"Saisie à corriger",IF(AND(I110="Réalisé",OR(H110&lt;=0,B110&gt;Parametres!$B$7)),"Réalisation à vérifier",IF(AND(P110="Émise",OR(Q110="",I110&lt;&gt;"Réalisé")),"Facture à corriger",IF(AND(Q110&lt;&gt;"",COUNTIF($Q$2:$Q$301,Q110)&gt;1),"DOUBLON FACTURE",IF(AND(I110="Réalisé",ABS(G110-H110)&gt;0.001,T110=""),"Écart heures","OK")))))))))</f>
        <v/>
      </c>
      <c r="T110" s="8"/>
    </row>
    <row r="111" spans="1:20" ht="22" customHeight="1">
      <c r="A111" s="8"/>
      <c r="B111" s="6"/>
      <c r="C111" s="8"/>
      <c r="D111" s="9">
        <f>IF(C111="","",IFERROR(VLOOKUP(C111,Clients!$A$2:$M$51,12,FALSE),"CLIENT INCONNU"))</f>
        <v/>
      </c>
      <c r="E111" s="8"/>
      <c r="F111" s="9">
        <f>IF(E111="","",IFERROR(VLOOKUP(E111,Services!$A$2:$D$4,2,FALSE),"SERVICE INCONNU"))</f>
        <v/>
      </c>
      <c r="G111" s="8"/>
      <c r="H111" s="8"/>
      <c r="I111" s="8"/>
      <c r="J111" s="11">
        <f>IF(E111="","",IFERROR(VLOOKUP(E111,Services!$A$2:$D$4,3,FALSE),0))</f>
        <v/>
      </c>
      <c r="K111" s="9">
        <f>IF(C111="","",IFERROR(VLOOKUP(C111,Clients!$A$2:$M$51,11,FALSE),"Non"))</f>
        <v/>
      </c>
      <c r="L111" s="12">
        <f>IF(A111="","",IF(I111&lt;&gt;"Réalisé",0,IF(E111&lt;&gt;"Sexologie",0,IF(K111&lt;&gt;"Oui",0,IF(AND(B111&gt;=Parametres!$B$2,B111&lt;=Parametres!$B$3),Parametres!$B$5,0)))))</f>
        <v/>
      </c>
      <c r="M111" s="11">
        <f>IF(A111="","",IF(I111="Réalisé",ROUND(H111*J111,2),0))</f>
        <v/>
      </c>
      <c r="N111" s="11">
        <f>IF(A111="","",ROUND(M111*L111,2))</f>
        <v/>
      </c>
      <c r="O111" s="11">
        <f>IF(A111="","",ROUND(M111-N111,2))</f>
        <v/>
      </c>
      <c r="P111" s="8"/>
      <c r="Q111" s="8"/>
      <c r="R111" s="13">
        <f>IF(A111="","",IF(I111="Réalisé",H111,0))</f>
        <v/>
      </c>
      <c r="S111" s="9">
        <f>IF(A111="","",IF(COUNTIF($A$2:$A$301,A111)&gt;1,"DOUBLON RDV",IF(COUNTIF(Clients!$A$2:$A$51,C111)&lt;&gt;1,"Client à corriger",IF(COUNTIF(Services!$A$2:$A$4,E111)&lt;&gt;1,"Service à corriger",IF(OR(NOT(ISNUMBER(B111)),G111&lt;=0,H111&lt;0,COUNTIF(ListeStatuts,I111)&lt;&gt;1,COUNTIF(ListeFactures,P111)&lt;&gt;1),"Saisie à corriger",IF(AND(I111="Réalisé",OR(H111&lt;=0,B111&gt;Parametres!$B$7)),"Réalisation à vérifier",IF(AND(P111="Émise",OR(Q111="",I111&lt;&gt;"Réalisé")),"Facture à corriger",IF(AND(Q111&lt;&gt;"",COUNTIF($Q$2:$Q$301,Q111)&gt;1),"DOUBLON FACTURE",IF(AND(I111="Réalisé",ABS(G111-H111)&gt;0.001,T111=""),"Écart heures","OK")))))))))</f>
        <v/>
      </c>
      <c r="T111" s="8"/>
    </row>
    <row r="112" spans="1:20" ht="22" customHeight="1">
      <c r="A112" s="8"/>
      <c r="B112" s="6"/>
      <c r="C112" s="8"/>
      <c r="D112" s="9">
        <f>IF(C112="","",IFERROR(VLOOKUP(C112,Clients!$A$2:$M$51,12,FALSE),"CLIENT INCONNU"))</f>
        <v/>
      </c>
      <c r="E112" s="8"/>
      <c r="F112" s="9">
        <f>IF(E112="","",IFERROR(VLOOKUP(E112,Services!$A$2:$D$4,2,FALSE),"SERVICE INCONNU"))</f>
        <v/>
      </c>
      <c r="G112" s="8"/>
      <c r="H112" s="8"/>
      <c r="I112" s="8"/>
      <c r="J112" s="11">
        <f>IF(E112="","",IFERROR(VLOOKUP(E112,Services!$A$2:$D$4,3,FALSE),0))</f>
        <v/>
      </c>
      <c r="K112" s="9">
        <f>IF(C112="","",IFERROR(VLOOKUP(C112,Clients!$A$2:$M$51,11,FALSE),"Non"))</f>
        <v/>
      </c>
      <c r="L112" s="12">
        <f>IF(A112="","",IF(I112&lt;&gt;"Réalisé",0,IF(E112&lt;&gt;"Sexologie",0,IF(K112&lt;&gt;"Oui",0,IF(AND(B112&gt;=Parametres!$B$2,B112&lt;=Parametres!$B$3),Parametres!$B$5,0)))))</f>
        <v/>
      </c>
      <c r="M112" s="11">
        <f>IF(A112="","",IF(I112="Réalisé",ROUND(H112*J112,2),0))</f>
        <v/>
      </c>
      <c r="N112" s="11">
        <f>IF(A112="","",ROUND(M112*L112,2))</f>
        <v/>
      </c>
      <c r="O112" s="11">
        <f>IF(A112="","",ROUND(M112-N112,2))</f>
        <v/>
      </c>
      <c r="P112" s="8"/>
      <c r="Q112" s="8"/>
      <c r="R112" s="13">
        <f>IF(A112="","",IF(I112="Réalisé",H112,0))</f>
        <v/>
      </c>
      <c r="S112" s="9">
        <f>IF(A112="","",IF(COUNTIF($A$2:$A$301,A112)&gt;1,"DOUBLON RDV",IF(COUNTIF(Clients!$A$2:$A$51,C112)&lt;&gt;1,"Client à corriger",IF(COUNTIF(Services!$A$2:$A$4,E112)&lt;&gt;1,"Service à corriger",IF(OR(NOT(ISNUMBER(B112)),G112&lt;=0,H112&lt;0,COUNTIF(ListeStatuts,I112)&lt;&gt;1,COUNTIF(ListeFactures,P112)&lt;&gt;1),"Saisie à corriger",IF(AND(I112="Réalisé",OR(H112&lt;=0,B112&gt;Parametres!$B$7)),"Réalisation à vérifier",IF(AND(P112="Émise",OR(Q112="",I112&lt;&gt;"Réalisé")),"Facture à corriger",IF(AND(Q112&lt;&gt;"",COUNTIF($Q$2:$Q$301,Q112)&gt;1),"DOUBLON FACTURE",IF(AND(I112="Réalisé",ABS(G112-H112)&gt;0.001,T112=""),"Écart heures","OK")))))))))</f>
        <v/>
      </c>
      <c r="T112" s="8"/>
    </row>
    <row r="113" spans="1:20" ht="22" customHeight="1">
      <c r="A113" s="8"/>
      <c r="B113" s="6"/>
      <c r="C113" s="8"/>
      <c r="D113" s="9">
        <f>IF(C113="","",IFERROR(VLOOKUP(C113,Clients!$A$2:$M$51,12,FALSE),"CLIENT INCONNU"))</f>
        <v/>
      </c>
      <c r="E113" s="8"/>
      <c r="F113" s="9">
        <f>IF(E113="","",IFERROR(VLOOKUP(E113,Services!$A$2:$D$4,2,FALSE),"SERVICE INCONNU"))</f>
        <v/>
      </c>
      <c r="G113" s="8"/>
      <c r="H113" s="8"/>
      <c r="I113" s="8"/>
      <c r="J113" s="11">
        <f>IF(E113="","",IFERROR(VLOOKUP(E113,Services!$A$2:$D$4,3,FALSE),0))</f>
        <v/>
      </c>
      <c r="K113" s="9">
        <f>IF(C113="","",IFERROR(VLOOKUP(C113,Clients!$A$2:$M$51,11,FALSE),"Non"))</f>
        <v/>
      </c>
      <c r="L113" s="12">
        <f>IF(A113="","",IF(I113&lt;&gt;"Réalisé",0,IF(E113&lt;&gt;"Sexologie",0,IF(K113&lt;&gt;"Oui",0,IF(AND(B113&gt;=Parametres!$B$2,B113&lt;=Parametres!$B$3),Parametres!$B$5,0)))))</f>
        <v/>
      </c>
      <c r="M113" s="11">
        <f>IF(A113="","",IF(I113="Réalisé",ROUND(H113*J113,2),0))</f>
        <v/>
      </c>
      <c r="N113" s="11">
        <f>IF(A113="","",ROUND(M113*L113,2))</f>
        <v/>
      </c>
      <c r="O113" s="11">
        <f>IF(A113="","",ROUND(M113-N113,2))</f>
        <v/>
      </c>
      <c r="P113" s="8"/>
      <c r="Q113" s="8"/>
      <c r="R113" s="13">
        <f>IF(A113="","",IF(I113="Réalisé",H113,0))</f>
        <v/>
      </c>
      <c r="S113" s="9">
        <f>IF(A113="","",IF(COUNTIF($A$2:$A$301,A113)&gt;1,"DOUBLON RDV",IF(COUNTIF(Clients!$A$2:$A$51,C113)&lt;&gt;1,"Client à corriger",IF(COUNTIF(Services!$A$2:$A$4,E113)&lt;&gt;1,"Service à corriger",IF(OR(NOT(ISNUMBER(B113)),G113&lt;=0,H113&lt;0,COUNTIF(ListeStatuts,I113)&lt;&gt;1,COUNTIF(ListeFactures,P113)&lt;&gt;1),"Saisie à corriger",IF(AND(I113="Réalisé",OR(H113&lt;=0,B113&gt;Parametres!$B$7)),"Réalisation à vérifier",IF(AND(P113="Émise",OR(Q113="",I113&lt;&gt;"Réalisé")),"Facture à corriger",IF(AND(Q113&lt;&gt;"",COUNTIF($Q$2:$Q$301,Q113)&gt;1),"DOUBLON FACTURE",IF(AND(I113="Réalisé",ABS(G113-H113)&gt;0.001,T113=""),"Écart heures","OK")))))))))</f>
        <v/>
      </c>
      <c r="T113" s="8"/>
    </row>
    <row r="114" spans="1:20" ht="22" customHeight="1">
      <c r="A114" s="8"/>
      <c r="B114" s="6"/>
      <c r="C114" s="8"/>
      <c r="D114" s="9">
        <f>IF(C114="","",IFERROR(VLOOKUP(C114,Clients!$A$2:$M$51,12,FALSE),"CLIENT INCONNU"))</f>
        <v/>
      </c>
      <c r="E114" s="8"/>
      <c r="F114" s="9">
        <f>IF(E114="","",IFERROR(VLOOKUP(E114,Services!$A$2:$D$4,2,FALSE),"SERVICE INCONNU"))</f>
        <v/>
      </c>
      <c r="G114" s="8"/>
      <c r="H114" s="8"/>
      <c r="I114" s="8"/>
      <c r="J114" s="11">
        <f>IF(E114="","",IFERROR(VLOOKUP(E114,Services!$A$2:$D$4,3,FALSE),0))</f>
        <v/>
      </c>
      <c r="K114" s="9">
        <f>IF(C114="","",IFERROR(VLOOKUP(C114,Clients!$A$2:$M$51,11,FALSE),"Non"))</f>
        <v/>
      </c>
      <c r="L114" s="12">
        <f>IF(A114="","",IF(I114&lt;&gt;"Réalisé",0,IF(E114&lt;&gt;"Sexologie",0,IF(K114&lt;&gt;"Oui",0,IF(AND(B114&gt;=Parametres!$B$2,B114&lt;=Parametres!$B$3),Parametres!$B$5,0)))))</f>
        <v/>
      </c>
      <c r="M114" s="11">
        <f>IF(A114="","",IF(I114="Réalisé",ROUND(H114*J114,2),0))</f>
        <v/>
      </c>
      <c r="N114" s="11">
        <f>IF(A114="","",ROUND(M114*L114,2))</f>
        <v/>
      </c>
      <c r="O114" s="11">
        <f>IF(A114="","",ROUND(M114-N114,2))</f>
        <v/>
      </c>
      <c r="P114" s="8"/>
      <c r="Q114" s="8"/>
      <c r="R114" s="13">
        <f>IF(A114="","",IF(I114="Réalisé",H114,0))</f>
        <v/>
      </c>
      <c r="S114" s="9">
        <f>IF(A114="","",IF(COUNTIF($A$2:$A$301,A114)&gt;1,"DOUBLON RDV",IF(COUNTIF(Clients!$A$2:$A$51,C114)&lt;&gt;1,"Client à corriger",IF(COUNTIF(Services!$A$2:$A$4,E114)&lt;&gt;1,"Service à corriger",IF(OR(NOT(ISNUMBER(B114)),G114&lt;=0,H114&lt;0,COUNTIF(ListeStatuts,I114)&lt;&gt;1,COUNTIF(ListeFactures,P114)&lt;&gt;1),"Saisie à corriger",IF(AND(I114="Réalisé",OR(H114&lt;=0,B114&gt;Parametres!$B$7)),"Réalisation à vérifier",IF(AND(P114="Émise",OR(Q114="",I114&lt;&gt;"Réalisé")),"Facture à corriger",IF(AND(Q114&lt;&gt;"",COUNTIF($Q$2:$Q$301,Q114)&gt;1),"DOUBLON FACTURE",IF(AND(I114="Réalisé",ABS(G114-H114)&gt;0.001,T114=""),"Écart heures","OK")))))))))</f>
        <v/>
      </c>
      <c r="T114" s="8"/>
    </row>
    <row r="115" spans="1:20" ht="22" customHeight="1">
      <c r="A115" s="8"/>
      <c r="B115" s="6"/>
      <c r="C115" s="8"/>
      <c r="D115" s="9">
        <f>IF(C115="","",IFERROR(VLOOKUP(C115,Clients!$A$2:$M$51,12,FALSE),"CLIENT INCONNU"))</f>
        <v/>
      </c>
      <c r="E115" s="8"/>
      <c r="F115" s="9">
        <f>IF(E115="","",IFERROR(VLOOKUP(E115,Services!$A$2:$D$4,2,FALSE),"SERVICE INCONNU"))</f>
        <v/>
      </c>
      <c r="G115" s="8"/>
      <c r="H115" s="8"/>
      <c r="I115" s="8"/>
      <c r="J115" s="11">
        <f>IF(E115="","",IFERROR(VLOOKUP(E115,Services!$A$2:$D$4,3,FALSE),0))</f>
        <v/>
      </c>
      <c r="K115" s="9">
        <f>IF(C115="","",IFERROR(VLOOKUP(C115,Clients!$A$2:$M$51,11,FALSE),"Non"))</f>
        <v/>
      </c>
      <c r="L115" s="12">
        <f>IF(A115="","",IF(I115&lt;&gt;"Réalisé",0,IF(E115&lt;&gt;"Sexologie",0,IF(K115&lt;&gt;"Oui",0,IF(AND(B115&gt;=Parametres!$B$2,B115&lt;=Parametres!$B$3),Parametres!$B$5,0)))))</f>
        <v/>
      </c>
      <c r="M115" s="11">
        <f>IF(A115="","",IF(I115="Réalisé",ROUND(H115*J115,2),0))</f>
        <v/>
      </c>
      <c r="N115" s="11">
        <f>IF(A115="","",ROUND(M115*L115,2))</f>
        <v/>
      </c>
      <c r="O115" s="11">
        <f>IF(A115="","",ROUND(M115-N115,2))</f>
        <v/>
      </c>
      <c r="P115" s="8"/>
      <c r="Q115" s="8"/>
      <c r="R115" s="13">
        <f>IF(A115="","",IF(I115="Réalisé",H115,0))</f>
        <v/>
      </c>
      <c r="S115" s="9">
        <f>IF(A115="","",IF(COUNTIF($A$2:$A$301,A115)&gt;1,"DOUBLON RDV",IF(COUNTIF(Clients!$A$2:$A$51,C115)&lt;&gt;1,"Client à corriger",IF(COUNTIF(Services!$A$2:$A$4,E115)&lt;&gt;1,"Service à corriger",IF(OR(NOT(ISNUMBER(B115)),G115&lt;=0,H115&lt;0,COUNTIF(ListeStatuts,I115)&lt;&gt;1,COUNTIF(ListeFactures,P115)&lt;&gt;1),"Saisie à corriger",IF(AND(I115="Réalisé",OR(H115&lt;=0,B115&gt;Parametres!$B$7)),"Réalisation à vérifier",IF(AND(P115="Émise",OR(Q115="",I115&lt;&gt;"Réalisé")),"Facture à corriger",IF(AND(Q115&lt;&gt;"",COUNTIF($Q$2:$Q$301,Q115)&gt;1),"DOUBLON FACTURE",IF(AND(I115="Réalisé",ABS(G115-H115)&gt;0.001,T115=""),"Écart heures","OK")))))))))</f>
        <v/>
      </c>
      <c r="T115" s="8"/>
    </row>
    <row r="116" spans="1:20" ht="22" customHeight="1">
      <c r="A116" s="8"/>
      <c r="B116" s="6"/>
      <c r="C116" s="8"/>
      <c r="D116" s="9">
        <f>IF(C116="","",IFERROR(VLOOKUP(C116,Clients!$A$2:$M$51,12,FALSE),"CLIENT INCONNU"))</f>
        <v/>
      </c>
      <c r="E116" s="8"/>
      <c r="F116" s="9">
        <f>IF(E116="","",IFERROR(VLOOKUP(E116,Services!$A$2:$D$4,2,FALSE),"SERVICE INCONNU"))</f>
        <v/>
      </c>
      <c r="G116" s="8"/>
      <c r="H116" s="8"/>
      <c r="I116" s="8"/>
      <c r="J116" s="11">
        <f>IF(E116="","",IFERROR(VLOOKUP(E116,Services!$A$2:$D$4,3,FALSE),0))</f>
        <v/>
      </c>
      <c r="K116" s="9">
        <f>IF(C116="","",IFERROR(VLOOKUP(C116,Clients!$A$2:$M$51,11,FALSE),"Non"))</f>
        <v/>
      </c>
      <c r="L116" s="12">
        <f>IF(A116="","",IF(I116&lt;&gt;"Réalisé",0,IF(E116&lt;&gt;"Sexologie",0,IF(K116&lt;&gt;"Oui",0,IF(AND(B116&gt;=Parametres!$B$2,B116&lt;=Parametres!$B$3),Parametres!$B$5,0)))))</f>
        <v/>
      </c>
      <c r="M116" s="11">
        <f>IF(A116="","",IF(I116="Réalisé",ROUND(H116*J116,2),0))</f>
        <v/>
      </c>
      <c r="N116" s="11">
        <f>IF(A116="","",ROUND(M116*L116,2))</f>
        <v/>
      </c>
      <c r="O116" s="11">
        <f>IF(A116="","",ROUND(M116-N116,2))</f>
        <v/>
      </c>
      <c r="P116" s="8"/>
      <c r="Q116" s="8"/>
      <c r="R116" s="13">
        <f>IF(A116="","",IF(I116="Réalisé",H116,0))</f>
        <v/>
      </c>
      <c r="S116" s="9">
        <f>IF(A116="","",IF(COUNTIF($A$2:$A$301,A116)&gt;1,"DOUBLON RDV",IF(COUNTIF(Clients!$A$2:$A$51,C116)&lt;&gt;1,"Client à corriger",IF(COUNTIF(Services!$A$2:$A$4,E116)&lt;&gt;1,"Service à corriger",IF(OR(NOT(ISNUMBER(B116)),G116&lt;=0,H116&lt;0,COUNTIF(ListeStatuts,I116)&lt;&gt;1,COUNTIF(ListeFactures,P116)&lt;&gt;1),"Saisie à corriger",IF(AND(I116="Réalisé",OR(H116&lt;=0,B116&gt;Parametres!$B$7)),"Réalisation à vérifier",IF(AND(P116="Émise",OR(Q116="",I116&lt;&gt;"Réalisé")),"Facture à corriger",IF(AND(Q116&lt;&gt;"",COUNTIF($Q$2:$Q$301,Q116)&gt;1),"DOUBLON FACTURE",IF(AND(I116="Réalisé",ABS(G116-H116)&gt;0.001,T116=""),"Écart heures","OK")))))))))</f>
        <v/>
      </c>
      <c r="T116" s="8"/>
    </row>
    <row r="117" spans="1:20" ht="22" customHeight="1">
      <c r="A117" s="8"/>
      <c r="B117" s="6"/>
      <c r="C117" s="8"/>
      <c r="D117" s="9">
        <f>IF(C117="","",IFERROR(VLOOKUP(C117,Clients!$A$2:$M$51,12,FALSE),"CLIENT INCONNU"))</f>
        <v/>
      </c>
      <c r="E117" s="8"/>
      <c r="F117" s="9">
        <f>IF(E117="","",IFERROR(VLOOKUP(E117,Services!$A$2:$D$4,2,FALSE),"SERVICE INCONNU"))</f>
        <v/>
      </c>
      <c r="G117" s="8"/>
      <c r="H117" s="8"/>
      <c r="I117" s="8"/>
      <c r="J117" s="11">
        <f>IF(E117="","",IFERROR(VLOOKUP(E117,Services!$A$2:$D$4,3,FALSE),0))</f>
        <v/>
      </c>
      <c r="K117" s="9">
        <f>IF(C117="","",IFERROR(VLOOKUP(C117,Clients!$A$2:$M$51,11,FALSE),"Non"))</f>
        <v/>
      </c>
      <c r="L117" s="12">
        <f>IF(A117="","",IF(I117&lt;&gt;"Réalisé",0,IF(E117&lt;&gt;"Sexologie",0,IF(K117&lt;&gt;"Oui",0,IF(AND(B117&gt;=Parametres!$B$2,B117&lt;=Parametres!$B$3),Parametres!$B$5,0)))))</f>
        <v/>
      </c>
      <c r="M117" s="11">
        <f>IF(A117="","",IF(I117="Réalisé",ROUND(H117*J117,2),0))</f>
        <v/>
      </c>
      <c r="N117" s="11">
        <f>IF(A117="","",ROUND(M117*L117,2))</f>
        <v/>
      </c>
      <c r="O117" s="11">
        <f>IF(A117="","",ROUND(M117-N117,2))</f>
        <v/>
      </c>
      <c r="P117" s="8"/>
      <c r="Q117" s="8"/>
      <c r="R117" s="13">
        <f>IF(A117="","",IF(I117="Réalisé",H117,0))</f>
        <v/>
      </c>
      <c r="S117" s="9">
        <f>IF(A117="","",IF(COUNTIF($A$2:$A$301,A117)&gt;1,"DOUBLON RDV",IF(COUNTIF(Clients!$A$2:$A$51,C117)&lt;&gt;1,"Client à corriger",IF(COUNTIF(Services!$A$2:$A$4,E117)&lt;&gt;1,"Service à corriger",IF(OR(NOT(ISNUMBER(B117)),G117&lt;=0,H117&lt;0,COUNTIF(ListeStatuts,I117)&lt;&gt;1,COUNTIF(ListeFactures,P117)&lt;&gt;1),"Saisie à corriger",IF(AND(I117="Réalisé",OR(H117&lt;=0,B117&gt;Parametres!$B$7)),"Réalisation à vérifier",IF(AND(P117="Émise",OR(Q117="",I117&lt;&gt;"Réalisé")),"Facture à corriger",IF(AND(Q117&lt;&gt;"",COUNTIF($Q$2:$Q$301,Q117)&gt;1),"DOUBLON FACTURE",IF(AND(I117="Réalisé",ABS(G117-H117)&gt;0.001,T117=""),"Écart heures","OK")))))))))</f>
        <v/>
      </c>
      <c r="T117" s="8"/>
    </row>
    <row r="118" spans="1:20" ht="22" customHeight="1">
      <c r="A118" s="8"/>
      <c r="B118" s="6"/>
      <c r="C118" s="8"/>
      <c r="D118" s="9">
        <f>IF(C118="","",IFERROR(VLOOKUP(C118,Clients!$A$2:$M$51,12,FALSE),"CLIENT INCONNU"))</f>
        <v/>
      </c>
      <c r="E118" s="8"/>
      <c r="F118" s="9">
        <f>IF(E118="","",IFERROR(VLOOKUP(E118,Services!$A$2:$D$4,2,FALSE),"SERVICE INCONNU"))</f>
        <v/>
      </c>
      <c r="G118" s="8"/>
      <c r="H118" s="8"/>
      <c r="I118" s="8"/>
      <c r="J118" s="11">
        <f>IF(E118="","",IFERROR(VLOOKUP(E118,Services!$A$2:$D$4,3,FALSE),0))</f>
        <v/>
      </c>
      <c r="K118" s="9">
        <f>IF(C118="","",IFERROR(VLOOKUP(C118,Clients!$A$2:$M$51,11,FALSE),"Non"))</f>
        <v/>
      </c>
      <c r="L118" s="12">
        <f>IF(A118="","",IF(I118&lt;&gt;"Réalisé",0,IF(E118&lt;&gt;"Sexologie",0,IF(K118&lt;&gt;"Oui",0,IF(AND(B118&gt;=Parametres!$B$2,B118&lt;=Parametres!$B$3),Parametres!$B$5,0)))))</f>
        <v/>
      </c>
      <c r="M118" s="11">
        <f>IF(A118="","",IF(I118="Réalisé",ROUND(H118*J118,2),0))</f>
        <v/>
      </c>
      <c r="N118" s="11">
        <f>IF(A118="","",ROUND(M118*L118,2))</f>
        <v/>
      </c>
      <c r="O118" s="11">
        <f>IF(A118="","",ROUND(M118-N118,2))</f>
        <v/>
      </c>
      <c r="P118" s="8"/>
      <c r="Q118" s="8"/>
      <c r="R118" s="13">
        <f>IF(A118="","",IF(I118="Réalisé",H118,0))</f>
        <v/>
      </c>
      <c r="S118" s="9">
        <f>IF(A118="","",IF(COUNTIF($A$2:$A$301,A118)&gt;1,"DOUBLON RDV",IF(COUNTIF(Clients!$A$2:$A$51,C118)&lt;&gt;1,"Client à corriger",IF(COUNTIF(Services!$A$2:$A$4,E118)&lt;&gt;1,"Service à corriger",IF(OR(NOT(ISNUMBER(B118)),G118&lt;=0,H118&lt;0,COUNTIF(ListeStatuts,I118)&lt;&gt;1,COUNTIF(ListeFactures,P118)&lt;&gt;1),"Saisie à corriger",IF(AND(I118="Réalisé",OR(H118&lt;=0,B118&gt;Parametres!$B$7)),"Réalisation à vérifier",IF(AND(P118="Émise",OR(Q118="",I118&lt;&gt;"Réalisé")),"Facture à corriger",IF(AND(Q118&lt;&gt;"",COUNTIF($Q$2:$Q$301,Q118)&gt;1),"DOUBLON FACTURE",IF(AND(I118="Réalisé",ABS(G118-H118)&gt;0.001,T118=""),"Écart heures","OK")))))))))</f>
        <v/>
      </c>
      <c r="T118" s="8"/>
    </row>
    <row r="119" spans="1:20" ht="22" customHeight="1">
      <c r="A119" s="8"/>
      <c r="B119" s="6"/>
      <c r="C119" s="8"/>
      <c r="D119" s="9">
        <f>IF(C119="","",IFERROR(VLOOKUP(C119,Clients!$A$2:$M$51,12,FALSE),"CLIENT INCONNU"))</f>
        <v/>
      </c>
      <c r="E119" s="8"/>
      <c r="F119" s="9">
        <f>IF(E119="","",IFERROR(VLOOKUP(E119,Services!$A$2:$D$4,2,FALSE),"SERVICE INCONNU"))</f>
        <v/>
      </c>
      <c r="G119" s="8"/>
      <c r="H119" s="8"/>
      <c r="I119" s="8"/>
      <c r="J119" s="11">
        <f>IF(E119="","",IFERROR(VLOOKUP(E119,Services!$A$2:$D$4,3,FALSE),0))</f>
        <v/>
      </c>
      <c r="K119" s="9">
        <f>IF(C119="","",IFERROR(VLOOKUP(C119,Clients!$A$2:$M$51,11,FALSE),"Non"))</f>
        <v/>
      </c>
      <c r="L119" s="12">
        <f>IF(A119="","",IF(I119&lt;&gt;"Réalisé",0,IF(E119&lt;&gt;"Sexologie",0,IF(K119&lt;&gt;"Oui",0,IF(AND(B119&gt;=Parametres!$B$2,B119&lt;=Parametres!$B$3),Parametres!$B$5,0)))))</f>
        <v/>
      </c>
      <c r="M119" s="11">
        <f>IF(A119="","",IF(I119="Réalisé",ROUND(H119*J119,2),0))</f>
        <v/>
      </c>
      <c r="N119" s="11">
        <f>IF(A119="","",ROUND(M119*L119,2))</f>
        <v/>
      </c>
      <c r="O119" s="11">
        <f>IF(A119="","",ROUND(M119-N119,2))</f>
        <v/>
      </c>
      <c r="P119" s="8"/>
      <c r="Q119" s="8"/>
      <c r="R119" s="13">
        <f>IF(A119="","",IF(I119="Réalisé",H119,0))</f>
        <v/>
      </c>
      <c r="S119" s="9">
        <f>IF(A119="","",IF(COUNTIF($A$2:$A$301,A119)&gt;1,"DOUBLON RDV",IF(COUNTIF(Clients!$A$2:$A$51,C119)&lt;&gt;1,"Client à corriger",IF(COUNTIF(Services!$A$2:$A$4,E119)&lt;&gt;1,"Service à corriger",IF(OR(NOT(ISNUMBER(B119)),G119&lt;=0,H119&lt;0,COUNTIF(ListeStatuts,I119)&lt;&gt;1,COUNTIF(ListeFactures,P119)&lt;&gt;1),"Saisie à corriger",IF(AND(I119="Réalisé",OR(H119&lt;=0,B119&gt;Parametres!$B$7)),"Réalisation à vérifier",IF(AND(P119="Émise",OR(Q119="",I119&lt;&gt;"Réalisé")),"Facture à corriger",IF(AND(Q119&lt;&gt;"",COUNTIF($Q$2:$Q$301,Q119)&gt;1),"DOUBLON FACTURE",IF(AND(I119="Réalisé",ABS(G119-H119)&gt;0.001,T119=""),"Écart heures","OK")))))))))</f>
        <v/>
      </c>
      <c r="T119" s="8"/>
    </row>
    <row r="120" spans="1:20" ht="22" customHeight="1">
      <c r="A120" s="8"/>
      <c r="B120" s="6"/>
      <c r="C120" s="8"/>
      <c r="D120" s="9">
        <f>IF(C120="","",IFERROR(VLOOKUP(C120,Clients!$A$2:$M$51,12,FALSE),"CLIENT INCONNU"))</f>
        <v/>
      </c>
      <c r="E120" s="8"/>
      <c r="F120" s="9">
        <f>IF(E120="","",IFERROR(VLOOKUP(E120,Services!$A$2:$D$4,2,FALSE),"SERVICE INCONNU"))</f>
        <v/>
      </c>
      <c r="G120" s="8"/>
      <c r="H120" s="8"/>
      <c r="I120" s="8"/>
      <c r="J120" s="11">
        <f>IF(E120="","",IFERROR(VLOOKUP(E120,Services!$A$2:$D$4,3,FALSE),0))</f>
        <v/>
      </c>
      <c r="K120" s="9">
        <f>IF(C120="","",IFERROR(VLOOKUP(C120,Clients!$A$2:$M$51,11,FALSE),"Non"))</f>
        <v/>
      </c>
      <c r="L120" s="12">
        <f>IF(A120="","",IF(I120&lt;&gt;"Réalisé",0,IF(E120&lt;&gt;"Sexologie",0,IF(K120&lt;&gt;"Oui",0,IF(AND(B120&gt;=Parametres!$B$2,B120&lt;=Parametres!$B$3),Parametres!$B$5,0)))))</f>
        <v/>
      </c>
      <c r="M120" s="11">
        <f>IF(A120="","",IF(I120="Réalisé",ROUND(H120*J120,2),0))</f>
        <v/>
      </c>
      <c r="N120" s="11">
        <f>IF(A120="","",ROUND(M120*L120,2))</f>
        <v/>
      </c>
      <c r="O120" s="11">
        <f>IF(A120="","",ROUND(M120-N120,2))</f>
        <v/>
      </c>
      <c r="P120" s="8"/>
      <c r="Q120" s="8"/>
      <c r="R120" s="13">
        <f>IF(A120="","",IF(I120="Réalisé",H120,0))</f>
        <v/>
      </c>
      <c r="S120" s="9">
        <f>IF(A120="","",IF(COUNTIF($A$2:$A$301,A120)&gt;1,"DOUBLON RDV",IF(COUNTIF(Clients!$A$2:$A$51,C120)&lt;&gt;1,"Client à corriger",IF(COUNTIF(Services!$A$2:$A$4,E120)&lt;&gt;1,"Service à corriger",IF(OR(NOT(ISNUMBER(B120)),G120&lt;=0,H120&lt;0,COUNTIF(ListeStatuts,I120)&lt;&gt;1,COUNTIF(ListeFactures,P120)&lt;&gt;1),"Saisie à corriger",IF(AND(I120="Réalisé",OR(H120&lt;=0,B120&gt;Parametres!$B$7)),"Réalisation à vérifier",IF(AND(P120="Émise",OR(Q120="",I120&lt;&gt;"Réalisé")),"Facture à corriger",IF(AND(Q120&lt;&gt;"",COUNTIF($Q$2:$Q$301,Q120)&gt;1),"DOUBLON FACTURE",IF(AND(I120="Réalisé",ABS(G120-H120)&gt;0.001,T120=""),"Écart heures","OK")))))))))</f>
        <v/>
      </c>
      <c r="T120" s="8"/>
    </row>
    <row r="121" spans="1:20" ht="22" customHeight="1">
      <c r="A121" s="8"/>
      <c r="B121" s="6"/>
      <c r="C121" s="8"/>
      <c r="D121" s="9">
        <f>IF(C121="","",IFERROR(VLOOKUP(C121,Clients!$A$2:$M$51,12,FALSE),"CLIENT INCONNU"))</f>
        <v/>
      </c>
      <c r="E121" s="8"/>
      <c r="F121" s="9">
        <f>IF(E121="","",IFERROR(VLOOKUP(E121,Services!$A$2:$D$4,2,FALSE),"SERVICE INCONNU"))</f>
        <v/>
      </c>
      <c r="G121" s="8"/>
      <c r="H121" s="8"/>
      <c r="I121" s="8"/>
      <c r="J121" s="11">
        <f>IF(E121="","",IFERROR(VLOOKUP(E121,Services!$A$2:$D$4,3,FALSE),0))</f>
        <v/>
      </c>
      <c r="K121" s="9">
        <f>IF(C121="","",IFERROR(VLOOKUP(C121,Clients!$A$2:$M$51,11,FALSE),"Non"))</f>
        <v/>
      </c>
      <c r="L121" s="12">
        <f>IF(A121="","",IF(I121&lt;&gt;"Réalisé",0,IF(E121&lt;&gt;"Sexologie",0,IF(K121&lt;&gt;"Oui",0,IF(AND(B121&gt;=Parametres!$B$2,B121&lt;=Parametres!$B$3),Parametres!$B$5,0)))))</f>
        <v/>
      </c>
      <c r="M121" s="11">
        <f>IF(A121="","",IF(I121="Réalisé",ROUND(H121*J121,2),0))</f>
        <v/>
      </c>
      <c r="N121" s="11">
        <f>IF(A121="","",ROUND(M121*L121,2))</f>
        <v/>
      </c>
      <c r="O121" s="11">
        <f>IF(A121="","",ROUND(M121-N121,2))</f>
        <v/>
      </c>
      <c r="P121" s="8"/>
      <c r="Q121" s="8"/>
      <c r="R121" s="13">
        <f>IF(A121="","",IF(I121="Réalisé",H121,0))</f>
        <v/>
      </c>
      <c r="S121" s="9">
        <f>IF(A121="","",IF(COUNTIF($A$2:$A$301,A121)&gt;1,"DOUBLON RDV",IF(COUNTIF(Clients!$A$2:$A$51,C121)&lt;&gt;1,"Client à corriger",IF(COUNTIF(Services!$A$2:$A$4,E121)&lt;&gt;1,"Service à corriger",IF(OR(NOT(ISNUMBER(B121)),G121&lt;=0,H121&lt;0,COUNTIF(ListeStatuts,I121)&lt;&gt;1,COUNTIF(ListeFactures,P121)&lt;&gt;1),"Saisie à corriger",IF(AND(I121="Réalisé",OR(H121&lt;=0,B121&gt;Parametres!$B$7)),"Réalisation à vérifier",IF(AND(P121="Émise",OR(Q121="",I121&lt;&gt;"Réalisé")),"Facture à corriger",IF(AND(Q121&lt;&gt;"",COUNTIF($Q$2:$Q$301,Q121)&gt;1),"DOUBLON FACTURE",IF(AND(I121="Réalisé",ABS(G121-H121)&gt;0.001,T121=""),"Écart heures","OK")))))))))</f>
        <v/>
      </c>
      <c r="T121" s="8"/>
    </row>
    <row r="122" spans="1:20" ht="22" customHeight="1">
      <c r="A122" s="8"/>
      <c r="B122" s="6"/>
      <c r="C122" s="8"/>
      <c r="D122" s="9">
        <f>IF(C122="","",IFERROR(VLOOKUP(C122,Clients!$A$2:$M$51,12,FALSE),"CLIENT INCONNU"))</f>
        <v/>
      </c>
      <c r="E122" s="8"/>
      <c r="F122" s="9">
        <f>IF(E122="","",IFERROR(VLOOKUP(E122,Services!$A$2:$D$4,2,FALSE),"SERVICE INCONNU"))</f>
        <v/>
      </c>
      <c r="G122" s="8"/>
      <c r="H122" s="8"/>
      <c r="I122" s="8"/>
      <c r="J122" s="11">
        <f>IF(E122="","",IFERROR(VLOOKUP(E122,Services!$A$2:$D$4,3,FALSE),0))</f>
        <v/>
      </c>
      <c r="K122" s="9">
        <f>IF(C122="","",IFERROR(VLOOKUP(C122,Clients!$A$2:$M$51,11,FALSE),"Non"))</f>
        <v/>
      </c>
      <c r="L122" s="12">
        <f>IF(A122="","",IF(I122&lt;&gt;"Réalisé",0,IF(E122&lt;&gt;"Sexologie",0,IF(K122&lt;&gt;"Oui",0,IF(AND(B122&gt;=Parametres!$B$2,B122&lt;=Parametres!$B$3),Parametres!$B$5,0)))))</f>
        <v/>
      </c>
      <c r="M122" s="11">
        <f>IF(A122="","",IF(I122="Réalisé",ROUND(H122*J122,2),0))</f>
        <v/>
      </c>
      <c r="N122" s="11">
        <f>IF(A122="","",ROUND(M122*L122,2))</f>
        <v/>
      </c>
      <c r="O122" s="11">
        <f>IF(A122="","",ROUND(M122-N122,2))</f>
        <v/>
      </c>
      <c r="P122" s="8"/>
      <c r="Q122" s="8"/>
      <c r="R122" s="13">
        <f>IF(A122="","",IF(I122="Réalisé",H122,0))</f>
        <v/>
      </c>
      <c r="S122" s="9">
        <f>IF(A122="","",IF(COUNTIF($A$2:$A$301,A122)&gt;1,"DOUBLON RDV",IF(COUNTIF(Clients!$A$2:$A$51,C122)&lt;&gt;1,"Client à corriger",IF(COUNTIF(Services!$A$2:$A$4,E122)&lt;&gt;1,"Service à corriger",IF(OR(NOT(ISNUMBER(B122)),G122&lt;=0,H122&lt;0,COUNTIF(ListeStatuts,I122)&lt;&gt;1,COUNTIF(ListeFactures,P122)&lt;&gt;1),"Saisie à corriger",IF(AND(I122="Réalisé",OR(H122&lt;=0,B122&gt;Parametres!$B$7)),"Réalisation à vérifier",IF(AND(P122="Émise",OR(Q122="",I122&lt;&gt;"Réalisé")),"Facture à corriger",IF(AND(Q122&lt;&gt;"",COUNTIF($Q$2:$Q$301,Q122)&gt;1),"DOUBLON FACTURE",IF(AND(I122="Réalisé",ABS(G122-H122)&gt;0.001,T122=""),"Écart heures","OK")))))))))</f>
        <v/>
      </c>
      <c r="T122" s="8"/>
    </row>
    <row r="123" spans="1:20" ht="22" customHeight="1">
      <c r="A123" s="8"/>
      <c r="B123" s="6"/>
      <c r="C123" s="8"/>
      <c r="D123" s="9">
        <f>IF(C123="","",IFERROR(VLOOKUP(C123,Clients!$A$2:$M$51,12,FALSE),"CLIENT INCONNU"))</f>
        <v/>
      </c>
      <c r="E123" s="8"/>
      <c r="F123" s="9">
        <f>IF(E123="","",IFERROR(VLOOKUP(E123,Services!$A$2:$D$4,2,FALSE),"SERVICE INCONNU"))</f>
        <v/>
      </c>
      <c r="G123" s="8"/>
      <c r="H123" s="8"/>
      <c r="I123" s="8"/>
      <c r="J123" s="11">
        <f>IF(E123="","",IFERROR(VLOOKUP(E123,Services!$A$2:$D$4,3,FALSE),0))</f>
        <v/>
      </c>
      <c r="K123" s="9">
        <f>IF(C123="","",IFERROR(VLOOKUP(C123,Clients!$A$2:$M$51,11,FALSE),"Non"))</f>
        <v/>
      </c>
      <c r="L123" s="12">
        <f>IF(A123="","",IF(I123&lt;&gt;"Réalisé",0,IF(E123&lt;&gt;"Sexologie",0,IF(K123&lt;&gt;"Oui",0,IF(AND(B123&gt;=Parametres!$B$2,B123&lt;=Parametres!$B$3),Parametres!$B$5,0)))))</f>
        <v/>
      </c>
      <c r="M123" s="11">
        <f>IF(A123="","",IF(I123="Réalisé",ROUND(H123*J123,2),0))</f>
        <v/>
      </c>
      <c r="N123" s="11">
        <f>IF(A123="","",ROUND(M123*L123,2))</f>
        <v/>
      </c>
      <c r="O123" s="11">
        <f>IF(A123="","",ROUND(M123-N123,2))</f>
        <v/>
      </c>
      <c r="P123" s="8"/>
      <c r="Q123" s="8"/>
      <c r="R123" s="13">
        <f>IF(A123="","",IF(I123="Réalisé",H123,0))</f>
        <v/>
      </c>
      <c r="S123" s="9">
        <f>IF(A123="","",IF(COUNTIF($A$2:$A$301,A123)&gt;1,"DOUBLON RDV",IF(COUNTIF(Clients!$A$2:$A$51,C123)&lt;&gt;1,"Client à corriger",IF(COUNTIF(Services!$A$2:$A$4,E123)&lt;&gt;1,"Service à corriger",IF(OR(NOT(ISNUMBER(B123)),G123&lt;=0,H123&lt;0,COUNTIF(ListeStatuts,I123)&lt;&gt;1,COUNTIF(ListeFactures,P123)&lt;&gt;1),"Saisie à corriger",IF(AND(I123="Réalisé",OR(H123&lt;=0,B123&gt;Parametres!$B$7)),"Réalisation à vérifier",IF(AND(P123="Émise",OR(Q123="",I123&lt;&gt;"Réalisé")),"Facture à corriger",IF(AND(Q123&lt;&gt;"",COUNTIF($Q$2:$Q$301,Q123)&gt;1),"DOUBLON FACTURE",IF(AND(I123="Réalisé",ABS(G123-H123)&gt;0.001,T123=""),"Écart heures","OK")))))))))</f>
        <v/>
      </c>
      <c r="T123" s="8"/>
    </row>
    <row r="124" spans="1:20" ht="22" customHeight="1">
      <c r="A124" s="8"/>
      <c r="B124" s="6"/>
      <c r="C124" s="8"/>
      <c r="D124" s="9">
        <f>IF(C124="","",IFERROR(VLOOKUP(C124,Clients!$A$2:$M$51,12,FALSE),"CLIENT INCONNU"))</f>
        <v/>
      </c>
      <c r="E124" s="8"/>
      <c r="F124" s="9">
        <f>IF(E124="","",IFERROR(VLOOKUP(E124,Services!$A$2:$D$4,2,FALSE),"SERVICE INCONNU"))</f>
        <v/>
      </c>
      <c r="G124" s="8"/>
      <c r="H124" s="8"/>
      <c r="I124" s="8"/>
      <c r="J124" s="11">
        <f>IF(E124="","",IFERROR(VLOOKUP(E124,Services!$A$2:$D$4,3,FALSE),0))</f>
        <v/>
      </c>
      <c r="K124" s="9">
        <f>IF(C124="","",IFERROR(VLOOKUP(C124,Clients!$A$2:$M$51,11,FALSE),"Non"))</f>
        <v/>
      </c>
      <c r="L124" s="12">
        <f>IF(A124="","",IF(I124&lt;&gt;"Réalisé",0,IF(E124&lt;&gt;"Sexologie",0,IF(K124&lt;&gt;"Oui",0,IF(AND(B124&gt;=Parametres!$B$2,B124&lt;=Parametres!$B$3),Parametres!$B$5,0)))))</f>
        <v/>
      </c>
      <c r="M124" s="11">
        <f>IF(A124="","",IF(I124="Réalisé",ROUND(H124*J124,2),0))</f>
        <v/>
      </c>
      <c r="N124" s="11">
        <f>IF(A124="","",ROUND(M124*L124,2))</f>
        <v/>
      </c>
      <c r="O124" s="11">
        <f>IF(A124="","",ROUND(M124-N124,2))</f>
        <v/>
      </c>
      <c r="P124" s="8"/>
      <c r="Q124" s="8"/>
      <c r="R124" s="13">
        <f>IF(A124="","",IF(I124="Réalisé",H124,0))</f>
        <v/>
      </c>
      <c r="S124" s="9">
        <f>IF(A124="","",IF(COUNTIF($A$2:$A$301,A124)&gt;1,"DOUBLON RDV",IF(COUNTIF(Clients!$A$2:$A$51,C124)&lt;&gt;1,"Client à corriger",IF(COUNTIF(Services!$A$2:$A$4,E124)&lt;&gt;1,"Service à corriger",IF(OR(NOT(ISNUMBER(B124)),G124&lt;=0,H124&lt;0,COUNTIF(ListeStatuts,I124)&lt;&gt;1,COUNTIF(ListeFactures,P124)&lt;&gt;1),"Saisie à corriger",IF(AND(I124="Réalisé",OR(H124&lt;=0,B124&gt;Parametres!$B$7)),"Réalisation à vérifier",IF(AND(P124="Émise",OR(Q124="",I124&lt;&gt;"Réalisé")),"Facture à corriger",IF(AND(Q124&lt;&gt;"",COUNTIF($Q$2:$Q$301,Q124)&gt;1),"DOUBLON FACTURE",IF(AND(I124="Réalisé",ABS(G124-H124)&gt;0.001,T124=""),"Écart heures","OK")))))))))</f>
        <v/>
      </c>
      <c r="T124" s="8"/>
    </row>
    <row r="125" spans="1:20" ht="22" customHeight="1">
      <c r="A125" s="8"/>
      <c r="B125" s="6"/>
      <c r="C125" s="8"/>
      <c r="D125" s="9">
        <f>IF(C125="","",IFERROR(VLOOKUP(C125,Clients!$A$2:$M$51,12,FALSE),"CLIENT INCONNU"))</f>
        <v/>
      </c>
      <c r="E125" s="8"/>
      <c r="F125" s="9">
        <f>IF(E125="","",IFERROR(VLOOKUP(E125,Services!$A$2:$D$4,2,FALSE),"SERVICE INCONNU"))</f>
        <v/>
      </c>
      <c r="G125" s="8"/>
      <c r="H125" s="8"/>
      <c r="I125" s="8"/>
      <c r="J125" s="11">
        <f>IF(E125="","",IFERROR(VLOOKUP(E125,Services!$A$2:$D$4,3,FALSE),0))</f>
        <v/>
      </c>
      <c r="K125" s="9">
        <f>IF(C125="","",IFERROR(VLOOKUP(C125,Clients!$A$2:$M$51,11,FALSE),"Non"))</f>
        <v/>
      </c>
      <c r="L125" s="12">
        <f>IF(A125="","",IF(I125&lt;&gt;"Réalisé",0,IF(E125&lt;&gt;"Sexologie",0,IF(K125&lt;&gt;"Oui",0,IF(AND(B125&gt;=Parametres!$B$2,B125&lt;=Parametres!$B$3),Parametres!$B$5,0)))))</f>
        <v/>
      </c>
      <c r="M125" s="11">
        <f>IF(A125="","",IF(I125="Réalisé",ROUND(H125*J125,2),0))</f>
        <v/>
      </c>
      <c r="N125" s="11">
        <f>IF(A125="","",ROUND(M125*L125,2))</f>
        <v/>
      </c>
      <c r="O125" s="11">
        <f>IF(A125="","",ROUND(M125-N125,2))</f>
        <v/>
      </c>
      <c r="P125" s="8"/>
      <c r="Q125" s="8"/>
      <c r="R125" s="13">
        <f>IF(A125="","",IF(I125="Réalisé",H125,0))</f>
        <v/>
      </c>
      <c r="S125" s="9">
        <f>IF(A125="","",IF(COUNTIF($A$2:$A$301,A125)&gt;1,"DOUBLON RDV",IF(COUNTIF(Clients!$A$2:$A$51,C125)&lt;&gt;1,"Client à corriger",IF(COUNTIF(Services!$A$2:$A$4,E125)&lt;&gt;1,"Service à corriger",IF(OR(NOT(ISNUMBER(B125)),G125&lt;=0,H125&lt;0,COUNTIF(ListeStatuts,I125)&lt;&gt;1,COUNTIF(ListeFactures,P125)&lt;&gt;1),"Saisie à corriger",IF(AND(I125="Réalisé",OR(H125&lt;=0,B125&gt;Parametres!$B$7)),"Réalisation à vérifier",IF(AND(P125="Émise",OR(Q125="",I125&lt;&gt;"Réalisé")),"Facture à corriger",IF(AND(Q125&lt;&gt;"",COUNTIF($Q$2:$Q$301,Q125)&gt;1),"DOUBLON FACTURE",IF(AND(I125="Réalisé",ABS(G125-H125)&gt;0.001,T125=""),"Écart heures","OK")))))))))</f>
        <v/>
      </c>
      <c r="T125" s="8"/>
    </row>
    <row r="126" spans="1:20" ht="22" customHeight="1">
      <c r="A126" s="8"/>
      <c r="B126" s="6"/>
      <c r="C126" s="8"/>
      <c r="D126" s="9">
        <f>IF(C126="","",IFERROR(VLOOKUP(C126,Clients!$A$2:$M$51,12,FALSE),"CLIENT INCONNU"))</f>
        <v/>
      </c>
      <c r="E126" s="8"/>
      <c r="F126" s="9">
        <f>IF(E126="","",IFERROR(VLOOKUP(E126,Services!$A$2:$D$4,2,FALSE),"SERVICE INCONNU"))</f>
        <v/>
      </c>
      <c r="G126" s="8"/>
      <c r="H126" s="8"/>
      <c r="I126" s="8"/>
      <c r="J126" s="11">
        <f>IF(E126="","",IFERROR(VLOOKUP(E126,Services!$A$2:$D$4,3,FALSE),0))</f>
        <v/>
      </c>
      <c r="K126" s="9">
        <f>IF(C126="","",IFERROR(VLOOKUP(C126,Clients!$A$2:$M$51,11,FALSE),"Non"))</f>
        <v/>
      </c>
      <c r="L126" s="12">
        <f>IF(A126="","",IF(I126&lt;&gt;"Réalisé",0,IF(E126&lt;&gt;"Sexologie",0,IF(K126&lt;&gt;"Oui",0,IF(AND(B126&gt;=Parametres!$B$2,B126&lt;=Parametres!$B$3),Parametres!$B$5,0)))))</f>
        <v/>
      </c>
      <c r="M126" s="11">
        <f>IF(A126="","",IF(I126="Réalisé",ROUND(H126*J126,2),0))</f>
        <v/>
      </c>
      <c r="N126" s="11">
        <f>IF(A126="","",ROUND(M126*L126,2))</f>
        <v/>
      </c>
      <c r="O126" s="11">
        <f>IF(A126="","",ROUND(M126-N126,2))</f>
        <v/>
      </c>
      <c r="P126" s="8"/>
      <c r="Q126" s="8"/>
      <c r="R126" s="13">
        <f>IF(A126="","",IF(I126="Réalisé",H126,0))</f>
        <v/>
      </c>
      <c r="S126" s="9">
        <f>IF(A126="","",IF(COUNTIF($A$2:$A$301,A126)&gt;1,"DOUBLON RDV",IF(COUNTIF(Clients!$A$2:$A$51,C126)&lt;&gt;1,"Client à corriger",IF(COUNTIF(Services!$A$2:$A$4,E126)&lt;&gt;1,"Service à corriger",IF(OR(NOT(ISNUMBER(B126)),G126&lt;=0,H126&lt;0,COUNTIF(ListeStatuts,I126)&lt;&gt;1,COUNTIF(ListeFactures,P126)&lt;&gt;1),"Saisie à corriger",IF(AND(I126="Réalisé",OR(H126&lt;=0,B126&gt;Parametres!$B$7)),"Réalisation à vérifier",IF(AND(P126="Émise",OR(Q126="",I126&lt;&gt;"Réalisé")),"Facture à corriger",IF(AND(Q126&lt;&gt;"",COUNTIF($Q$2:$Q$301,Q126)&gt;1),"DOUBLON FACTURE",IF(AND(I126="Réalisé",ABS(G126-H126)&gt;0.001,T126=""),"Écart heures","OK")))))))))</f>
        <v/>
      </c>
      <c r="T126" s="8"/>
    </row>
    <row r="127" spans="1:20" ht="22" customHeight="1">
      <c r="A127" s="8"/>
      <c r="B127" s="6"/>
      <c r="C127" s="8"/>
      <c r="D127" s="9">
        <f>IF(C127="","",IFERROR(VLOOKUP(C127,Clients!$A$2:$M$51,12,FALSE),"CLIENT INCONNU"))</f>
        <v/>
      </c>
      <c r="E127" s="8"/>
      <c r="F127" s="9">
        <f>IF(E127="","",IFERROR(VLOOKUP(E127,Services!$A$2:$D$4,2,FALSE),"SERVICE INCONNU"))</f>
        <v/>
      </c>
      <c r="G127" s="8"/>
      <c r="H127" s="8"/>
      <c r="I127" s="8"/>
      <c r="J127" s="11">
        <f>IF(E127="","",IFERROR(VLOOKUP(E127,Services!$A$2:$D$4,3,FALSE),0))</f>
        <v/>
      </c>
      <c r="K127" s="9">
        <f>IF(C127="","",IFERROR(VLOOKUP(C127,Clients!$A$2:$M$51,11,FALSE),"Non"))</f>
        <v/>
      </c>
      <c r="L127" s="12">
        <f>IF(A127="","",IF(I127&lt;&gt;"Réalisé",0,IF(E127&lt;&gt;"Sexologie",0,IF(K127&lt;&gt;"Oui",0,IF(AND(B127&gt;=Parametres!$B$2,B127&lt;=Parametres!$B$3),Parametres!$B$5,0)))))</f>
        <v/>
      </c>
      <c r="M127" s="11">
        <f>IF(A127="","",IF(I127="Réalisé",ROUND(H127*J127,2),0))</f>
        <v/>
      </c>
      <c r="N127" s="11">
        <f>IF(A127="","",ROUND(M127*L127,2))</f>
        <v/>
      </c>
      <c r="O127" s="11">
        <f>IF(A127="","",ROUND(M127-N127,2))</f>
        <v/>
      </c>
      <c r="P127" s="8"/>
      <c r="Q127" s="8"/>
      <c r="R127" s="13">
        <f>IF(A127="","",IF(I127="Réalisé",H127,0))</f>
        <v/>
      </c>
      <c r="S127" s="9">
        <f>IF(A127="","",IF(COUNTIF($A$2:$A$301,A127)&gt;1,"DOUBLON RDV",IF(COUNTIF(Clients!$A$2:$A$51,C127)&lt;&gt;1,"Client à corriger",IF(COUNTIF(Services!$A$2:$A$4,E127)&lt;&gt;1,"Service à corriger",IF(OR(NOT(ISNUMBER(B127)),G127&lt;=0,H127&lt;0,COUNTIF(ListeStatuts,I127)&lt;&gt;1,COUNTIF(ListeFactures,P127)&lt;&gt;1),"Saisie à corriger",IF(AND(I127="Réalisé",OR(H127&lt;=0,B127&gt;Parametres!$B$7)),"Réalisation à vérifier",IF(AND(P127="Émise",OR(Q127="",I127&lt;&gt;"Réalisé")),"Facture à corriger",IF(AND(Q127&lt;&gt;"",COUNTIF($Q$2:$Q$301,Q127)&gt;1),"DOUBLON FACTURE",IF(AND(I127="Réalisé",ABS(G127-H127)&gt;0.001,T127=""),"Écart heures","OK")))))))))</f>
        <v/>
      </c>
      <c r="T127" s="8"/>
    </row>
    <row r="128" spans="1:20" ht="22" customHeight="1">
      <c r="A128" s="8"/>
      <c r="B128" s="6"/>
      <c r="C128" s="8"/>
      <c r="D128" s="9">
        <f>IF(C128="","",IFERROR(VLOOKUP(C128,Clients!$A$2:$M$51,12,FALSE),"CLIENT INCONNU"))</f>
        <v/>
      </c>
      <c r="E128" s="8"/>
      <c r="F128" s="9">
        <f>IF(E128="","",IFERROR(VLOOKUP(E128,Services!$A$2:$D$4,2,FALSE),"SERVICE INCONNU"))</f>
        <v/>
      </c>
      <c r="G128" s="8"/>
      <c r="H128" s="8"/>
      <c r="I128" s="8"/>
      <c r="J128" s="11">
        <f>IF(E128="","",IFERROR(VLOOKUP(E128,Services!$A$2:$D$4,3,FALSE),0))</f>
        <v/>
      </c>
      <c r="K128" s="9">
        <f>IF(C128="","",IFERROR(VLOOKUP(C128,Clients!$A$2:$M$51,11,FALSE),"Non"))</f>
        <v/>
      </c>
      <c r="L128" s="12">
        <f>IF(A128="","",IF(I128&lt;&gt;"Réalisé",0,IF(E128&lt;&gt;"Sexologie",0,IF(K128&lt;&gt;"Oui",0,IF(AND(B128&gt;=Parametres!$B$2,B128&lt;=Parametres!$B$3),Parametres!$B$5,0)))))</f>
        <v/>
      </c>
      <c r="M128" s="11">
        <f>IF(A128="","",IF(I128="Réalisé",ROUND(H128*J128,2),0))</f>
        <v/>
      </c>
      <c r="N128" s="11">
        <f>IF(A128="","",ROUND(M128*L128,2))</f>
        <v/>
      </c>
      <c r="O128" s="11">
        <f>IF(A128="","",ROUND(M128-N128,2))</f>
        <v/>
      </c>
      <c r="P128" s="8"/>
      <c r="Q128" s="8"/>
      <c r="R128" s="13">
        <f>IF(A128="","",IF(I128="Réalisé",H128,0))</f>
        <v/>
      </c>
      <c r="S128" s="9">
        <f>IF(A128="","",IF(COUNTIF($A$2:$A$301,A128)&gt;1,"DOUBLON RDV",IF(COUNTIF(Clients!$A$2:$A$51,C128)&lt;&gt;1,"Client à corriger",IF(COUNTIF(Services!$A$2:$A$4,E128)&lt;&gt;1,"Service à corriger",IF(OR(NOT(ISNUMBER(B128)),G128&lt;=0,H128&lt;0,COUNTIF(ListeStatuts,I128)&lt;&gt;1,COUNTIF(ListeFactures,P128)&lt;&gt;1),"Saisie à corriger",IF(AND(I128="Réalisé",OR(H128&lt;=0,B128&gt;Parametres!$B$7)),"Réalisation à vérifier",IF(AND(P128="Émise",OR(Q128="",I128&lt;&gt;"Réalisé")),"Facture à corriger",IF(AND(Q128&lt;&gt;"",COUNTIF($Q$2:$Q$301,Q128)&gt;1),"DOUBLON FACTURE",IF(AND(I128="Réalisé",ABS(G128-H128)&gt;0.001,T128=""),"Écart heures","OK")))))))))</f>
        <v/>
      </c>
      <c r="T128" s="8"/>
    </row>
    <row r="129" spans="1:20" ht="22" customHeight="1">
      <c r="A129" s="8"/>
      <c r="B129" s="6"/>
      <c r="C129" s="8"/>
      <c r="D129" s="9">
        <f>IF(C129="","",IFERROR(VLOOKUP(C129,Clients!$A$2:$M$51,12,FALSE),"CLIENT INCONNU"))</f>
        <v/>
      </c>
      <c r="E129" s="8"/>
      <c r="F129" s="9">
        <f>IF(E129="","",IFERROR(VLOOKUP(E129,Services!$A$2:$D$4,2,FALSE),"SERVICE INCONNU"))</f>
        <v/>
      </c>
      <c r="G129" s="8"/>
      <c r="H129" s="8"/>
      <c r="I129" s="8"/>
      <c r="J129" s="11">
        <f>IF(E129="","",IFERROR(VLOOKUP(E129,Services!$A$2:$D$4,3,FALSE),0))</f>
        <v/>
      </c>
      <c r="K129" s="9">
        <f>IF(C129="","",IFERROR(VLOOKUP(C129,Clients!$A$2:$M$51,11,FALSE),"Non"))</f>
        <v/>
      </c>
      <c r="L129" s="12">
        <f>IF(A129="","",IF(I129&lt;&gt;"Réalisé",0,IF(E129&lt;&gt;"Sexologie",0,IF(K129&lt;&gt;"Oui",0,IF(AND(B129&gt;=Parametres!$B$2,B129&lt;=Parametres!$B$3),Parametres!$B$5,0)))))</f>
        <v/>
      </c>
      <c r="M129" s="11">
        <f>IF(A129="","",IF(I129="Réalisé",ROUND(H129*J129,2),0))</f>
        <v/>
      </c>
      <c r="N129" s="11">
        <f>IF(A129="","",ROUND(M129*L129,2))</f>
        <v/>
      </c>
      <c r="O129" s="11">
        <f>IF(A129="","",ROUND(M129-N129,2))</f>
        <v/>
      </c>
      <c r="P129" s="8"/>
      <c r="Q129" s="8"/>
      <c r="R129" s="13">
        <f>IF(A129="","",IF(I129="Réalisé",H129,0))</f>
        <v/>
      </c>
      <c r="S129" s="9">
        <f>IF(A129="","",IF(COUNTIF($A$2:$A$301,A129)&gt;1,"DOUBLON RDV",IF(COUNTIF(Clients!$A$2:$A$51,C129)&lt;&gt;1,"Client à corriger",IF(COUNTIF(Services!$A$2:$A$4,E129)&lt;&gt;1,"Service à corriger",IF(OR(NOT(ISNUMBER(B129)),G129&lt;=0,H129&lt;0,COUNTIF(ListeStatuts,I129)&lt;&gt;1,COUNTIF(ListeFactures,P129)&lt;&gt;1),"Saisie à corriger",IF(AND(I129="Réalisé",OR(H129&lt;=0,B129&gt;Parametres!$B$7)),"Réalisation à vérifier",IF(AND(P129="Émise",OR(Q129="",I129&lt;&gt;"Réalisé")),"Facture à corriger",IF(AND(Q129&lt;&gt;"",COUNTIF($Q$2:$Q$301,Q129)&gt;1),"DOUBLON FACTURE",IF(AND(I129="Réalisé",ABS(G129-H129)&gt;0.001,T129=""),"Écart heures","OK")))))))))</f>
        <v/>
      </c>
      <c r="T129" s="8"/>
    </row>
    <row r="130" spans="1:20" ht="22" customHeight="1">
      <c r="A130" s="8"/>
      <c r="B130" s="6"/>
      <c r="C130" s="8"/>
      <c r="D130" s="9">
        <f>IF(C130="","",IFERROR(VLOOKUP(C130,Clients!$A$2:$M$51,12,FALSE),"CLIENT INCONNU"))</f>
        <v/>
      </c>
      <c r="E130" s="8"/>
      <c r="F130" s="9">
        <f>IF(E130="","",IFERROR(VLOOKUP(E130,Services!$A$2:$D$4,2,FALSE),"SERVICE INCONNU"))</f>
        <v/>
      </c>
      <c r="G130" s="8"/>
      <c r="H130" s="8"/>
      <c r="I130" s="8"/>
      <c r="J130" s="11">
        <f>IF(E130="","",IFERROR(VLOOKUP(E130,Services!$A$2:$D$4,3,FALSE),0))</f>
        <v/>
      </c>
      <c r="K130" s="9">
        <f>IF(C130="","",IFERROR(VLOOKUP(C130,Clients!$A$2:$M$51,11,FALSE),"Non"))</f>
        <v/>
      </c>
      <c r="L130" s="12">
        <f>IF(A130="","",IF(I130&lt;&gt;"Réalisé",0,IF(E130&lt;&gt;"Sexologie",0,IF(K130&lt;&gt;"Oui",0,IF(AND(B130&gt;=Parametres!$B$2,B130&lt;=Parametres!$B$3),Parametres!$B$5,0)))))</f>
        <v/>
      </c>
      <c r="M130" s="11">
        <f>IF(A130="","",IF(I130="Réalisé",ROUND(H130*J130,2),0))</f>
        <v/>
      </c>
      <c r="N130" s="11">
        <f>IF(A130="","",ROUND(M130*L130,2))</f>
        <v/>
      </c>
      <c r="O130" s="11">
        <f>IF(A130="","",ROUND(M130-N130,2))</f>
        <v/>
      </c>
      <c r="P130" s="8"/>
      <c r="Q130" s="8"/>
      <c r="R130" s="13">
        <f>IF(A130="","",IF(I130="Réalisé",H130,0))</f>
        <v/>
      </c>
      <c r="S130" s="9">
        <f>IF(A130="","",IF(COUNTIF($A$2:$A$301,A130)&gt;1,"DOUBLON RDV",IF(COUNTIF(Clients!$A$2:$A$51,C130)&lt;&gt;1,"Client à corriger",IF(COUNTIF(Services!$A$2:$A$4,E130)&lt;&gt;1,"Service à corriger",IF(OR(NOT(ISNUMBER(B130)),G130&lt;=0,H130&lt;0,COUNTIF(ListeStatuts,I130)&lt;&gt;1,COUNTIF(ListeFactures,P130)&lt;&gt;1),"Saisie à corriger",IF(AND(I130="Réalisé",OR(H130&lt;=0,B130&gt;Parametres!$B$7)),"Réalisation à vérifier",IF(AND(P130="Émise",OR(Q130="",I130&lt;&gt;"Réalisé")),"Facture à corriger",IF(AND(Q130&lt;&gt;"",COUNTIF($Q$2:$Q$301,Q130)&gt;1),"DOUBLON FACTURE",IF(AND(I130="Réalisé",ABS(G130-H130)&gt;0.001,T130=""),"Écart heures","OK")))))))))</f>
        <v/>
      </c>
      <c r="T130" s="8"/>
    </row>
    <row r="131" spans="1:20" ht="22" customHeight="1">
      <c r="A131" s="8"/>
      <c r="B131" s="6"/>
      <c r="C131" s="8"/>
      <c r="D131" s="9">
        <f>IF(C131="","",IFERROR(VLOOKUP(C131,Clients!$A$2:$M$51,12,FALSE),"CLIENT INCONNU"))</f>
        <v/>
      </c>
      <c r="E131" s="8"/>
      <c r="F131" s="9">
        <f>IF(E131="","",IFERROR(VLOOKUP(E131,Services!$A$2:$D$4,2,FALSE),"SERVICE INCONNU"))</f>
        <v/>
      </c>
      <c r="G131" s="8"/>
      <c r="H131" s="8"/>
      <c r="I131" s="8"/>
      <c r="J131" s="11">
        <f>IF(E131="","",IFERROR(VLOOKUP(E131,Services!$A$2:$D$4,3,FALSE),0))</f>
        <v/>
      </c>
      <c r="K131" s="9">
        <f>IF(C131="","",IFERROR(VLOOKUP(C131,Clients!$A$2:$M$51,11,FALSE),"Non"))</f>
        <v/>
      </c>
      <c r="L131" s="12">
        <f>IF(A131="","",IF(I131&lt;&gt;"Réalisé",0,IF(E131&lt;&gt;"Sexologie",0,IF(K131&lt;&gt;"Oui",0,IF(AND(B131&gt;=Parametres!$B$2,B131&lt;=Parametres!$B$3),Parametres!$B$5,0)))))</f>
        <v/>
      </c>
      <c r="M131" s="11">
        <f>IF(A131="","",IF(I131="Réalisé",ROUND(H131*J131,2),0))</f>
        <v/>
      </c>
      <c r="N131" s="11">
        <f>IF(A131="","",ROUND(M131*L131,2))</f>
        <v/>
      </c>
      <c r="O131" s="11">
        <f>IF(A131="","",ROUND(M131-N131,2))</f>
        <v/>
      </c>
      <c r="P131" s="8"/>
      <c r="Q131" s="8"/>
      <c r="R131" s="13">
        <f>IF(A131="","",IF(I131="Réalisé",H131,0))</f>
        <v/>
      </c>
      <c r="S131" s="9">
        <f>IF(A131="","",IF(COUNTIF($A$2:$A$301,A131)&gt;1,"DOUBLON RDV",IF(COUNTIF(Clients!$A$2:$A$51,C131)&lt;&gt;1,"Client à corriger",IF(COUNTIF(Services!$A$2:$A$4,E131)&lt;&gt;1,"Service à corriger",IF(OR(NOT(ISNUMBER(B131)),G131&lt;=0,H131&lt;0,COUNTIF(ListeStatuts,I131)&lt;&gt;1,COUNTIF(ListeFactures,P131)&lt;&gt;1),"Saisie à corriger",IF(AND(I131="Réalisé",OR(H131&lt;=0,B131&gt;Parametres!$B$7)),"Réalisation à vérifier",IF(AND(P131="Émise",OR(Q131="",I131&lt;&gt;"Réalisé")),"Facture à corriger",IF(AND(Q131&lt;&gt;"",COUNTIF($Q$2:$Q$301,Q131)&gt;1),"DOUBLON FACTURE",IF(AND(I131="Réalisé",ABS(G131-H131)&gt;0.001,T131=""),"Écart heures","OK")))))))))</f>
        <v/>
      </c>
      <c r="T131" s="8"/>
    </row>
    <row r="132" spans="1:20" ht="22" customHeight="1">
      <c r="A132" s="8"/>
      <c r="B132" s="6"/>
      <c r="C132" s="8"/>
      <c r="D132" s="9">
        <f>IF(C132="","",IFERROR(VLOOKUP(C132,Clients!$A$2:$M$51,12,FALSE),"CLIENT INCONNU"))</f>
        <v/>
      </c>
      <c r="E132" s="8"/>
      <c r="F132" s="9">
        <f>IF(E132="","",IFERROR(VLOOKUP(E132,Services!$A$2:$D$4,2,FALSE),"SERVICE INCONNU"))</f>
        <v/>
      </c>
      <c r="G132" s="8"/>
      <c r="H132" s="8"/>
      <c r="I132" s="8"/>
      <c r="J132" s="11">
        <f>IF(E132="","",IFERROR(VLOOKUP(E132,Services!$A$2:$D$4,3,FALSE),0))</f>
        <v/>
      </c>
      <c r="K132" s="9">
        <f>IF(C132="","",IFERROR(VLOOKUP(C132,Clients!$A$2:$M$51,11,FALSE),"Non"))</f>
        <v/>
      </c>
      <c r="L132" s="12">
        <f>IF(A132="","",IF(I132&lt;&gt;"Réalisé",0,IF(E132&lt;&gt;"Sexologie",0,IF(K132&lt;&gt;"Oui",0,IF(AND(B132&gt;=Parametres!$B$2,B132&lt;=Parametres!$B$3),Parametres!$B$5,0)))))</f>
        <v/>
      </c>
      <c r="M132" s="11">
        <f>IF(A132="","",IF(I132="Réalisé",ROUND(H132*J132,2),0))</f>
        <v/>
      </c>
      <c r="N132" s="11">
        <f>IF(A132="","",ROUND(M132*L132,2))</f>
        <v/>
      </c>
      <c r="O132" s="11">
        <f>IF(A132="","",ROUND(M132-N132,2))</f>
        <v/>
      </c>
      <c r="P132" s="8"/>
      <c r="Q132" s="8"/>
      <c r="R132" s="13">
        <f>IF(A132="","",IF(I132="Réalisé",H132,0))</f>
        <v/>
      </c>
      <c r="S132" s="9">
        <f>IF(A132="","",IF(COUNTIF($A$2:$A$301,A132)&gt;1,"DOUBLON RDV",IF(COUNTIF(Clients!$A$2:$A$51,C132)&lt;&gt;1,"Client à corriger",IF(COUNTIF(Services!$A$2:$A$4,E132)&lt;&gt;1,"Service à corriger",IF(OR(NOT(ISNUMBER(B132)),G132&lt;=0,H132&lt;0,COUNTIF(ListeStatuts,I132)&lt;&gt;1,COUNTIF(ListeFactures,P132)&lt;&gt;1),"Saisie à corriger",IF(AND(I132="Réalisé",OR(H132&lt;=0,B132&gt;Parametres!$B$7)),"Réalisation à vérifier",IF(AND(P132="Émise",OR(Q132="",I132&lt;&gt;"Réalisé")),"Facture à corriger",IF(AND(Q132&lt;&gt;"",COUNTIF($Q$2:$Q$301,Q132)&gt;1),"DOUBLON FACTURE",IF(AND(I132="Réalisé",ABS(G132-H132)&gt;0.001,T132=""),"Écart heures","OK")))))))))</f>
        <v/>
      </c>
      <c r="T132" s="8"/>
    </row>
    <row r="133" spans="1:20" ht="22" customHeight="1">
      <c r="A133" s="8"/>
      <c r="B133" s="6"/>
      <c r="C133" s="8"/>
      <c r="D133" s="9">
        <f>IF(C133="","",IFERROR(VLOOKUP(C133,Clients!$A$2:$M$51,12,FALSE),"CLIENT INCONNU"))</f>
        <v/>
      </c>
      <c r="E133" s="8"/>
      <c r="F133" s="9">
        <f>IF(E133="","",IFERROR(VLOOKUP(E133,Services!$A$2:$D$4,2,FALSE),"SERVICE INCONNU"))</f>
        <v/>
      </c>
      <c r="G133" s="8"/>
      <c r="H133" s="8"/>
      <c r="I133" s="8"/>
      <c r="J133" s="11">
        <f>IF(E133="","",IFERROR(VLOOKUP(E133,Services!$A$2:$D$4,3,FALSE),0))</f>
        <v/>
      </c>
      <c r="K133" s="9">
        <f>IF(C133="","",IFERROR(VLOOKUP(C133,Clients!$A$2:$M$51,11,FALSE),"Non"))</f>
        <v/>
      </c>
      <c r="L133" s="12">
        <f>IF(A133="","",IF(I133&lt;&gt;"Réalisé",0,IF(E133&lt;&gt;"Sexologie",0,IF(K133&lt;&gt;"Oui",0,IF(AND(B133&gt;=Parametres!$B$2,B133&lt;=Parametres!$B$3),Parametres!$B$5,0)))))</f>
        <v/>
      </c>
      <c r="M133" s="11">
        <f>IF(A133="","",IF(I133="Réalisé",ROUND(H133*J133,2),0))</f>
        <v/>
      </c>
      <c r="N133" s="11">
        <f>IF(A133="","",ROUND(M133*L133,2))</f>
        <v/>
      </c>
      <c r="O133" s="11">
        <f>IF(A133="","",ROUND(M133-N133,2))</f>
        <v/>
      </c>
      <c r="P133" s="8"/>
      <c r="Q133" s="8"/>
      <c r="R133" s="13">
        <f>IF(A133="","",IF(I133="Réalisé",H133,0))</f>
        <v/>
      </c>
      <c r="S133" s="9">
        <f>IF(A133="","",IF(COUNTIF($A$2:$A$301,A133)&gt;1,"DOUBLON RDV",IF(COUNTIF(Clients!$A$2:$A$51,C133)&lt;&gt;1,"Client à corriger",IF(COUNTIF(Services!$A$2:$A$4,E133)&lt;&gt;1,"Service à corriger",IF(OR(NOT(ISNUMBER(B133)),G133&lt;=0,H133&lt;0,COUNTIF(ListeStatuts,I133)&lt;&gt;1,COUNTIF(ListeFactures,P133)&lt;&gt;1),"Saisie à corriger",IF(AND(I133="Réalisé",OR(H133&lt;=0,B133&gt;Parametres!$B$7)),"Réalisation à vérifier",IF(AND(P133="Émise",OR(Q133="",I133&lt;&gt;"Réalisé")),"Facture à corriger",IF(AND(Q133&lt;&gt;"",COUNTIF($Q$2:$Q$301,Q133)&gt;1),"DOUBLON FACTURE",IF(AND(I133="Réalisé",ABS(G133-H133)&gt;0.001,T133=""),"Écart heures","OK")))))))))</f>
        <v/>
      </c>
      <c r="T133" s="8"/>
    </row>
    <row r="134" spans="1:20" ht="22" customHeight="1">
      <c r="A134" s="8"/>
      <c r="B134" s="6"/>
      <c r="C134" s="8"/>
      <c r="D134" s="9">
        <f>IF(C134="","",IFERROR(VLOOKUP(C134,Clients!$A$2:$M$51,12,FALSE),"CLIENT INCONNU"))</f>
        <v/>
      </c>
      <c r="E134" s="8"/>
      <c r="F134" s="9">
        <f>IF(E134="","",IFERROR(VLOOKUP(E134,Services!$A$2:$D$4,2,FALSE),"SERVICE INCONNU"))</f>
        <v/>
      </c>
      <c r="G134" s="8"/>
      <c r="H134" s="8"/>
      <c r="I134" s="8"/>
      <c r="J134" s="11">
        <f>IF(E134="","",IFERROR(VLOOKUP(E134,Services!$A$2:$D$4,3,FALSE),0))</f>
        <v/>
      </c>
      <c r="K134" s="9">
        <f>IF(C134="","",IFERROR(VLOOKUP(C134,Clients!$A$2:$M$51,11,FALSE),"Non"))</f>
        <v/>
      </c>
      <c r="L134" s="12">
        <f>IF(A134="","",IF(I134&lt;&gt;"Réalisé",0,IF(E134&lt;&gt;"Sexologie",0,IF(K134&lt;&gt;"Oui",0,IF(AND(B134&gt;=Parametres!$B$2,B134&lt;=Parametres!$B$3),Parametres!$B$5,0)))))</f>
        <v/>
      </c>
      <c r="M134" s="11">
        <f>IF(A134="","",IF(I134="Réalisé",ROUND(H134*J134,2),0))</f>
        <v/>
      </c>
      <c r="N134" s="11">
        <f>IF(A134="","",ROUND(M134*L134,2))</f>
        <v/>
      </c>
      <c r="O134" s="11">
        <f>IF(A134="","",ROUND(M134-N134,2))</f>
        <v/>
      </c>
      <c r="P134" s="8"/>
      <c r="Q134" s="8"/>
      <c r="R134" s="13">
        <f>IF(A134="","",IF(I134="Réalisé",H134,0))</f>
        <v/>
      </c>
      <c r="S134" s="9">
        <f>IF(A134="","",IF(COUNTIF($A$2:$A$301,A134)&gt;1,"DOUBLON RDV",IF(COUNTIF(Clients!$A$2:$A$51,C134)&lt;&gt;1,"Client à corriger",IF(COUNTIF(Services!$A$2:$A$4,E134)&lt;&gt;1,"Service à corriger",IF(OR(NOT(ISNUMBER(B134)),G134&lt;=0,H134&lt;0,COUNTIF(ListeStatuts,I134)&lt;&gt;1,COUNTIF(ListeFactures,P134)&lt;&gt;1),"Saisie à corriger",IF(AND(I134="Réalisé",OR(H134&lt;=0,B134&gt;Parametres!$B$7)),"Réalisation à vérifier",IF(AND(P134="Émise",OR(Q134="",I134&lt;&gt;"Réalisé")),"Facture à corriger",IF(AND(Q134&lt;&gt;"",COUNTIF($Q$2:$Q$301,Q134)&gt;1),"DOUBLON FACTURE",IF(AND(I134="Réalisé",ABS(G134-H134)&gt;0.001,T134=""),"Écart heures","OK")))))))))</f>
        <v/>
      </c>
      <c r="T134" s="8"/>
    </row>
    <row r="135" spans="1:20" ht="22" customHeight="1">
      <c r="A135" s="8"/>
      <c r="B135" s="6"/>
      <c r="C135" s="8"/>
      <c r="D135" s="9">
        <f>IF(C135="","",IFERROR(VLOOKUP(C135,Clients!$A$2:$M$51,12,FALSE),"CLIENT INCONNU"))</f>
        <v/>
      </c>
      <c r="E135" s="8"/>
      <c r="F135" s="9">
        <f>IF(E135="","",IFERROR(VLOOKUP(E135,Services!$A$2:$D$4,2,FALSE),"SERVICE INCONNU"))</f>
        <v/>
      </c>
      <c r="G135" s="8"/>
      <c r="H135" s="8"/>
      <c r="I135" s="8"/>
      <c r="J135" s="11">
        <f>IF(E135="","",IFERROR(VLOOKUP(E135,Services!$A$2:$D$4,3,FALSE),0))</f>
        <v/>
      </c>
      <c r="K135" s="9">
        <f>IF(C135="","",IFERROR(VLOOKUP(C135,Clients!$A$2:$M$51,11,FALSE),"Non"))</f>
        <v/>
      </c>
      <c r="L135" s="12">
        <f>IF(A135="","",IF(I135&lt;&gt;"Réalisé",0,IF(E135&lt;&gt;"Sexologie",0,IF(K135&lt;&gt;"Oui",0,IF(AND(B135&gt;=Parametres!$B$2,B135&lt;=Parametres!$B$3),Parametres!$B$5,0)))))</f>
        <v/>
      </c>
      <c r="M135" s="11">
        <f>IF(A135="","",IF(I135="Réalisé",ROUND(H135*J135,2),0))</f>
        <v/>
      </c>
      <c r="N135" s="11">
        <f>IF(A135="","",ROUND(M135*L135,2))</f>
        <v/>
      </c>
      <c r="O135" s="11">
        <f>IF(A135="","",ROUND(M135-N135,2))</f>
        <v/>
      </c>
      <c r="P135" s="8"/>
      <c r="Q135" s="8"/>
      <c r="R135" s="13">
        <f>IF(A135="","",IF(I135="Réalisé",H135,0))</f>
        <v/>
      </c>
      <c r="S135" s="9">
        <f>IF(A135="","",IF(COUNTIF($A$2:$A$301,A135)&gt;1,"DOUBLON RDV",IF(COUNTIF(Clients!$A$2:$A$51,C135)&lt;&gt;1,"Client à corriger",IF(COUNTIF(Services!$A$2:$A$4,E135)&lt;&gt;1,"Service à corriger",IF(OR(NOT(ISNUMBER(B135)),G135&lt;=0,H135&lt;0,COUNTIF(ListeStatuts,I135)&lt;&gt;1,COUNTIF(ListeFactures,P135)&lt;&gt;1),"Saisie à corriger",IF(AND(I135="Réalisé",OR(H135&lt;=0,B135&gt;Parametres!$B$7)),"Réalisation à vérifier",IF(AND(P135="Émise",OR(Q135="",I135&lt;&gt;"Réalisé")),"Facture à corriger",IF(AND(Q135&lt;&gt;"",COUNTIF($Q$2:$Q$301,Q135)&gt;1),"DOUBLON FACTURE",IF(AND(I135="Réalisé",ABS(G135-H135)&gt;0.001,T135=""),"Écart heures","OK")))))))))</f>
        <v/>
      </c>
      <c r="T135" s="8"/>
    </row>
    <row r="136" spans="1:20" ht="22" customHeight="1">
      <c r="A136" s="8"/>
      <c r="B136" s="6"/>
      <c r="C136" s="8"/>
      <c r="D136" s="9">
        <f>IF(C136="","",IFERROR(VLOOKUP(C136,Clients!$A$2:$M$51,12,FALSE),"CLIENT INCONNU"))</f>
        <v/>
      </c>
      <c r="E136" s="8"/>
      <c r="F136" s="9">
        <f>IF(E136="","",IFERROR(VLOOKUP(E136,Services!$A$2:$D$4,2,FALSE),"SERVICE INCONNU"))</f>
        <v/>
      </c>
      <c r="G136" s="8"/>
      <c r="H136" s="8"/>
      <c r="I136" s="8"/>
      <c r="J136" s="11">
        <f>IF(E136="","",IFERROR(VLOOKUP(E136,Services!$A$2:$D$4,3,FALSE),0))</f>
        <v/>
      </c>
      <c r="K136" s="9">
        <f>IF(C136="","",IFERROR(VLOOKUP(C136,Clients!$A$2:$M$51,11,FALSE),"Non"))</f>
        <v/>
      </c>
      <c r="L136" s="12">
        <f>IF(A136="","",IF(I136&lt;&gt;"Réalisé",0,IF(E136&lt;&gt;"Sexologie",0,IF(K136&lt;&gt;"Oui",0,IF(AND(B136&gt;=Parametres!$B$2,B136&lt;=Parametres!$B$3),Parametres!$B$5,0)))))</f>
        <v/>
      </c>
      <c r="M136" s="11">
        <f>IF(A136="","",IF(I136="Réalisé",ROUND(H136*J136,2),0))</f>
        <v/>
      </c>
      <c r="N136" s="11">
        <f>IF(A136="","",ROUND(M136*L136,2))</f>
        <v/>
      </c>
      <c r="O136" s="11">
        <f>IF(A136="","",ROUND(M136-N136,2))</f>
        <v/>
      </c>
      <c r="P136" s="8"/>
      <c r="Q136" s="8"/>
      <c r="R136" s="13">
        <f>IF(A136="","",IF(I136="Réalisé",H136,0))</f>
        <v/>
      </c>
      <c r="S136" s="9">
        <f>IF(A136="","",IF(COUNTIF($A$2:$A$301,A136)&gt;1,"DOUBLON RDV",IF(COUNTIF(Clients!$A$2:$A$51,C136)&lt;&gt;1,"Client à corriger",IF(COUNTIF(Services!$A$2:$A$4,E136)&lt;&gt;1,"Service à corriger",IF(OR(NOT(ISNUMBER(B136)),G136&lt;=0,H136&lt;0,COUNTIF(ListeStatuts,I136)&lt;&gt;1,COUNTIF(ListeFactures,P136)&lt;&gt;1),"Saisie à corriger",IF(AND(I136="Réalisé",OR(H136&lt;=0,B136&gt;Parametres!$B$7)),"Réalisation à vérifier",IF(AND(P136="Émise",OR(Q136="",I136&lt;&gt;"Réalisé")),"Facture à corriger",IF(AND(Q136&lt;&gt;"",COUNTIF($Q$2:$Q$301,Q136)&gt;1),"DOUBLON FACTURE",IF(AND(I136="Réalisé",ABS(G136-H136)&gt;0.001,T136=""),"Écart heures","OK")))))))))</f>
        <v/>
      </c>
      <c r="T136" s="8"/>
    </row>
    <row r="137" spans="1:20" ht="22" customHeight="1">
      <c r="A137" s="8"/>
      <c r="B137" s="6"/>
      <c r="C137" s="8"/>
      <c r="D137" s="9">
        <f>IF(C137="","",IFERROR(VLOOKUP(C137,Clients!$A$2:$M$51,12,FALSE),"CLIENT INCONNU"))</f>
        <v/>
      </c>
      <c r="E137" s="8"/>
      <c r="F137" s="9">
        <f>IF(E137="","",IFERROR(VLOOKUP(E137,Services!$A$2:$D$4,2,FALSE),"SERVICE INCONNU"))</f>
        <v/>
      </c>
      <c r="G137" s="8"/>
      <c r="H137" s="8"/>
      <c r="I137" s="8"/>
      <c r="J137" s="11">
        <f>IF(E137="","",IFERROR(VLOOKUP(E137,Services!$A$2:$D$4,3,FALSE),0))</f>
        <v/>
      </c>
      <c r="K137" s="9">
        <f>IF(C137="","",IFERROR(VLOOKUP(C137,Clients!$A$2:$M$51,11,FALSE),"Non"))</f>
        <v/>
      </c>
      <c r="L137" s="12">
        <f>IF(A137="","",IF(I137&lt;&gt;"Réalisé",0,IF(E137&lt;&gt;"Sexologie",0,IF(K137&lt;&gt;"Oui",0,IF(AND(B137&gt;=Parametres!$B$2,B137&lt;=Parametres!$B$3),Parametres!$B$5,0)))))</f>
        <v/>
      </c>
      <c r="M137" s="11">
        <f>IF(A137="","",IF(I137="Réalisé",ROUND(H137*J137,2),0))</f>
        <v/>
      </c>
      <c r="N137" s="11">
        <f>IF(A137="","",ROUND(M137*L137,2))</f>
        <v/>
      </c>
      <c r="O137" s="11">
        <f>IF(A137="","",ROUND(M137-N137,2))</f>
        <v/>
      </c>
      <c r="P137" s="8"/>
      <c r="Q137" s="8"/>
      <c r="R137" s="13">
        <f>IF(A137="","",IF(I137="Réalisé",H137,0))</f>
        <v/>
      </c>
      <c r="S137" s="9">
        <f>IF(A137="","",IF(COUNTIF($A$2:$A$301,A137)&gt;1,"DOUBLON RDV",IF(COUNTIF(Clients!$A$2:$A$51,C137)&lt;&gt;1,"Client à corriger",IF(COUNTIF(Services!$A$2:$A$4,E137)&lt;&gt;1,"Service à corriger",IF(OR(NOT(ISNUMBER(B137)),G137&lt;=0,H137&lt;0,COUNTIF(ListeStatuts,I137)&lt;&gt;1,COUNTIF(ListeFactures,P137)&lt;&gt;1),"Saisie à corriger",IF(AND(I137="Réalisé",OR(H137&lt;=0,B137&gt;Parametres!$B$7)),"Réalisation à vérifier",IF(AND(P137="Émise",OR(Q137="",I137&lt;&gt;"Réalisé")),"Facture à corriger",IF(AND(Q137&lt;&gt;"",COUNTIF($Q$2:$Q$301,Q137)&gt;1),"DOUBLON FACTURE",IF(AND(I137="Réalisé",ABS(G137-H137)&gt;0.001,T137=""),"Écart heures","OK")))))))))</f>
        <v/>
      </c>
      <c r="T137" s="8"/>
    </row>
    <row r="138" spans="1:20" ht="22" customHeight="1">
      <c r="A138" s="8"/>
      <c r="B138" s="6"/>
      <c r="C138" s="8"/>
      <c r="D138" s="9">
        <f>IF(C138="","",IFERROR(VLOOKUP(C138,Clients!$A$2:$M$51,12,FALSE),"CLIENT INCONNU"))</f>
        <v/>
      </c>
      <c r="E138" s="8"/>
      <c r="F138" s="9">
        <f>IF(E138="","",IFERROR(VLOOKUP(E138,Services!$A$2:$D$4,2,FALSE),"SERVICE INCONNU"))</f>
        <v/>
      </c>
      <c r="G138" s="8"/>
      <c r="H138" s="8"/>
      <c r="I138" s="8"/>
      <c r="J138" s="11">
        <f>IF(E138="","",IFERROR(VLOOKUP(E138,Services!$A$2:$D$4,3,FALSE),0))</f>
        <v/>
      </c>
      <c r="K138" s="9">
        <f>IF(C138="","",IFERROR(VLOOKUP(C138,Clients!$A$2:$M$51,11,FALSE),"Non"))</f>
        <v/>
      </c>
      <c r="L138" s="12">
        <f>IF(A138="","",IF(I138&lt;&gt;"Réalisé",0,IF(E138&lt;&gt;"Sexologie",0,IF(K138&lt;&gt;"Oui",0,IF(AND(B138&gt;=Parametres!$B$2,B138&lt;=Parametres!$B$3),Parametres!$B$5,0)))))</f>
        <v/>
      </c>
      <c r="M138" s="11">
        <f>IF(A138="","",IF(I138="Réalisé",ROUND(H138*J138,2),0))</f>
        <v/>
      </c>
      <c r="N138" s="11">
        <f>IF(A138="","",ROUND(M138*L138,2))</f>
        <v/>
      </c>
      <c r="O138" s="11">
        <f>IF(A138="","",ROUND(M138-N138,2))</f>
        <v/>
      </c>
      <c r="P138" s="8"/>
      <c r="Q138" s="8"/>
      <c r="R138" s="13">
        <f>IF(A138="","",IF(I138="Réalisé",H138,0))</f>
        <v/>
      </c>
      <c r="S138" s="9">
        <f>IF(A138="","",IF(COUNTIF($A$2:$A$301,A138)&gt;1,"DOUBLON RDV",IF(COUNTIF(Clients!$A$2:$A$51,C138)&lt;&gt;1,"Client à corriger",IF(COUNTIF(Services!$A$2:$A$4,E138)&lt;&gt;1,"Service à corriger",IF(OR(NOT(ISNUMBER(B138)),G138&lt;=0,H138&lt;0,COUNTIF(ListeStatuts,I138)&lt;&gt;1,COUNTIF(ListeFactures,P138)&lt;&gt;1),"Saisie à corriger",IF(AND(I138="Réalisé",OR(H138&lt;=0,B138&gt;Parametres!$B$7)),"Réalisation à vérifier",IF(AND(P138="Émise",OR(Q138="",I138&lt;&gt;"Réalisé")),"Facture à corriger",IF(AND(Q138&lt;&gt;"",COUNTIF($Q$2:$Q$301,Q138)&gt;1),"DOUBLON FACTURE",IF(AND(I138="Réalisé",ABS(G138-H138)&gt;0.001,T138=""),"Écart heures","OK")))))))))</f>
        <v/>
      </c>
      <c r="T138" s="8"/>
    </row>
    <row r="139" spans="1:20" ht="22" customHeight="1">
      <c r="A139" s="8"/>
      <c r="B139" s="6"/>
      <c r="C139" s="8"/>
      <c r="D139" s="9">
        <f>IF(C139="","",IFERROR(VLOOKUP(C139,Clients!$A$2:$M$51,12,FALSE),"CLIENT INCONNU"))</f>
        <v/>
      </c>
      <c r="E139" s="8"/>
      <c r="F139" s="9">
        <f>IF(E139="","",IFERROR(VLOOKUP(E139,Services!$A$2:$D$4,2,FALSE),"SERVICE INCONNU"))</f>
        <v/>
      </c>
      <c r="G139" s="8"/>
      <c r="H139" s="8"/>
      <c r="I139" s="8"/>
      <c r="J139" s="11">
        <f>IF(E139="","",IFERROR(VLOOKUP(E139,Services!$A$2:$D$4,3,FALSE),0))</f>
        <v/>
      </c>
      <c r="K139" s="9">
        <f>IF(C139="","",IFERROR(VLOOKUP(C139,Clients!$A$2:$M$51,11,FALSE),"Non"))</f>
        <v/>
      </c>
      <c r="L139" s="12">
        <f>IF(A139="","",IF(I139&lt;&gt;"Réalisé",0,IF(E139&lt;&gt;"Sexologie",0,IF(K139&lt;&gt;"Oui",0,IF(AND(B139&gt;=Parametres!$B$2,B139&lt;=Parametres!$B$3),Parametres!$B$5,0)))))</f>
        <v/>
      </c>
      <c r="M139" s="11">
        <f>IF(A139="","",IF(I139="Réalisé",ROUND(H139*J139,2),0))</f>
        <v/>
      </c>
      <c r="N139" s="11">
        <f>IF(A139="","",ROUND(M139*L139,2))</f>
        <v/>
      </c>
      <c r="O139" s="11">
        <f>IF(A139="","",ROUND(M139-N139,2))</f>
        <v/>
      </c>
      <c r="P139" s="8"/>
      <c r="Q139" s="8"/>
      <c r="R139" s="13">
        <f>IF(A139="","",IF(I139="Réalisé",H139,0))</f>
        <v/>
      </c>
      <c r="S139" s="9">
        <f>IF(A139="","",IF(COUNTIF($A$2:$A$301,A139)&gt;1,"DOUBLON RDV",IF(COUNTIF(Clients!$A$2:$A$51,C139)&lt;&gt;1,"Client à corriger",IF(COUNTIF(Services!$A$2:$A$4,E139)&lt;&gt;1,"Service à corriger",IF(OR(NOT(ISNUMBER(B139)),G139&lt;=0,H139&lt;0,COUNTIF(ListeStatuts,I139)&lt;&gt;1,COUNTIF(ListeFactures,P139)&lt;&gt;1),"Saisie à corriger",IF(AND(I139="Réalisé",OR(H139&lt;=0,B139&gt;Parametres!$B$7)),"Réalisation à vérifier",IF(AND(P139="Émise",OR(Q139="",I139&lt;&gt;"Réalisé")),"Facture à corriger",IF(AND(Q139&lt;&gt;"",COUNTIF($Q$2:$Q$301,Q139)&gt;1),"DOUBLON FACTURE",IF(AND(I139="Réalisé",ABS(G139-H139)&gt;0.001,T139=""),"Écart heures","OK")))))))))</f>
        <v/>
      </c>
      <c r="T139" s="8"/>
    </row>
    <row r="140" spans="1:20" ht="22" customHeight="1">
      <c r="A140" s="8"/>
      <c r="B140" s="6"/>
      <c r="C140" s="8"/>
      <c r="D140" s="9">
        <f>IF(C140="","",IFERROR(VLOOKUP(C140,Clients!$A$2:$M$51,12,FALSE),"CLIENT INCONNU"))</f>
        <v/>
      </c>
      <c r="E140" s="8"/>
      <c r="F140" s="9">
        <f>IF(E140="","",IFERROR(VLOOKUP(E140,Services!$A$2:$D$4,2,FALSE),"SERVICE INCONNU"))</f>
        <v/>
      </c>
      <c r="G140" s="8"/>
      <c r="H140" s="8"/>
      <c r="I140" s="8"/>
      <c r="J140" s="11">
        <f>IF(E140="","",IFERROR(VLOOKUP(E140,Services!$A$2:$D$4,3,FALSE),0))</f>
        <v/>
      </c>
      <c r="K140" s="9">
        <f>IF(C140="","",IFERROR(VLOOKUP(C140,Clients!$A$2:$M$51,11,FALSE),"Non"))</f>
        <v/>
      </c>
      <c r="L140" s="12">
        <f>IF(A140="","",IF(I140&lt;&gt;"Réalisé",0,IF(E140&lt;&gt;"Sexologie",0,IF(K140&lt;&gt;"Oui",0,IF(AND(B140&gt;=Parametres!$B$2,B140&lt;=Parametres!$B$3),Parametres!$B$5,0)))))</f>
        <v/>
      </c>
      <c r="M140" s="11">
        <f>IF(A140="","",IF(I140="Réalisé",ROUND(H140*J140,2),0))</f>
        <v/>
      </c>
      <c r="N140" s="11">
        <f>IF(A140="","",ROUND(M140*L140,2))</f>
        <v/>
      </c>
      <c r="O140" s="11">
        <f>IF(A140="","",ROUND(M140-N140,2))</f>
        <v/>
      </c>
      <c r="P140" s="8"/>
      <c r="Q140" s="8"/>
      <c r="R140" s="13">
        <f>IF(A140="","",IF(I140="Réalisé",H140,0))</f>
        <v/>
      </c>
      <c r="S140" s="9">
        <f>IF(A140="","",IF(COUNTIF($A$2:$A$301,A140)&gt;1,"DOUBLON RDV",IF(COUNTIF(Clients!$A$2:$A$51,C140)&lt;&gt;1,"Client à corriger",IF(COUNTIF(Services!$A$2:$A$4,E140)&lt;&gt;1,"Service à corriger",IF(OR(NOT(ISNUMBER(B140)),G140&lt;=0,H140&lt;0,COUNTIF(ListeStatuts,I140)&lt;&gt;1,COUNTIF(ListeFactures,P140)&lt;&gt;1),"Saisie à corriger",IF(AND(I140="Réalisé",OR(H140&lt;=0,B140&gt;Parametres!$B$7)),"Réalisation à vérifier",IF(AND(P140="Émise",OR(Q140="",I140&lt;&gt;"Réalisé")),"Facture à corriger",IF(AND(Q140&lt;&gt;"",COUNTIF($Q$2:$Q$301,Q140)&gt;1),"DOUBLON FACTURE",IF(AND(I140="Réalisé",ABS(G140-H140)&gt;0.001,T140=""),"Écart heures","OK")))))))))</f>
        <v/>
      </c>
      <c r="T140" s="8"/>
    </row>
    <row r="141" spans="1:20" ht="22" customHeight="1">
      <c r="A141" s="8"/>
      <c r="B141" s="6"/>
      <c r="C141" s="8"/>
      <c r="D141" s="9">
        <f>IF(C141="","",IFERROR(VLOOKUP(C141,Clients!$A$2:$M$51,12,FALSE),"CLIENT INCONNU"))</f>
        <v/>
      </c>
      <c r="E141" s="8"/>
      <c r="F141" s="9">
        <f>IF(E141="","",IFERROR(VLOOKUP(E141,Services!$A$2:$D$4,2,FALSE),"SERVICE INCONNU"))</f>
        <v/>
      </c>
      <c r="G141" s="8"/>
      <c r="H141" s="8"/>
      <c r="I141" s="8"/>
      <c r="J141" s="11">
        <f>IF(E141="","",IFERROR(VLOOKUP(E141,Services!$A$2:$D$4,3,FALSE),0))</f>
        <v/>
      </c>
      <c r="K141" s="9">
        <f>IF(C141="","",IFERROR(VLOOKUP(C141,Clients!$A$2:$M$51,11,FALSE),"Non"))</f>
        <v/>
      </c>
      <c r="L141" s="12">
        <f>IF(A141="","",IF(I141&lt;&gt;"Réalisé",0,IF(E141&lt;&gt;"Sexologie",0,IF(K141&lt;&gt;"Oui",0,IF(AND(B141&gt;=Parametres!$B$2,B141&lt;=Parametres!$B$3),Parametres!$B$5,0)))))</f>
        <v/>
      </c>
      <c r="M141" s="11">
        <f>IF(A141="","",IF(I141="Réalisé",ROUND(H141*J141,2),0))</f>
        <v/>
      </c>
      <c r="N141" s="11">
        <f>IF(A141="","",ROUND(M141*L141,2))</f>
        <v/>
      </c>
      <c r="O141" s="11">
        <f>IF(A141="","",ROUND(M141-N141,2))</f>
        <v/>
      </c>
      <c r="P141" s="8"/>
      <c r="Q141" s="8"/>
      <c r="R141" s="13">
        <f>IF(A141="","",IF(I141="Réalisé",H141,0))</f>
        <v/>
      </c>
      <c r="S141" s="9">
        <f>IF(A141="","",IF(COUNTIF($A$2:$A$301,A141)&gt;1,"DOUBLON RDV",IF(COUNTIF(Clients!$A$2:$A$51,C141)&lt;&gt;1,"Client à corriger",IF(COUNTIF(Services!$A$2:$A$4,E141)&lt;&gt;1,"Service à corriger",IF(OR(NOT(ISNUMBER(B141)),G141&lt;=0,H141&lt;0,COUNTIF(ListeStatuts,I141)&lt;&gt;1,COUNTIF(ListeFactures,P141)&lt;&gt;1),"Saisie à corriger",IF(AND(I141="Réalisé",OR(H141&lt;=0,B141&gt;Parametres!$B$7)),"Réalisation à vérifier",IF(AND(P141="Émise",OR(Q141="",I141&lt;&gt;"Réalisé")),"Facture à corriger",IF(AND(Q141&lt;&gt;"",COUNTIF($Q$2:$Q$301,Q141)&gt;1),"DOUBLON FACTURE",IF(AND(I141="Réalisé",ABS(G141-H141)&gt;0.001,T141=""),"Écart heures","OK")))))))))</f>
        <v/>
      </c>
      <c r="T141" s="8"/>
    </row>
    <row r="142" spans="1:20" ht="22" customHeight="1">
      <c r="A142" s="8"/>
      <c r="B142" s="6"/>
      <c r="C142" s="8"/>
      <c r="D142" s="9">
        <f>IF(C142="","",IFERROR(VLOOKUP(C142,Clients!$A$2:$M$51,12,FALSE),"CLIENT INCONNU"))</f>
        <v/>
      </c>
      <c r="E142" s="8"/>
      <c r="F142" s="9">
        <f>IF(E142="","",IFERROR(VLOOKUP(E142,Services!$A$2:$D$4,2,FALSE),"SERVICE INCONNU"))</f>
        <v/>
      </c>
      <c r="G142" s="8"/>
      <c r="H142" s="8"/>
      <c r="I142" s="8"/>
      <c r="J142" s="11">
        <f>IF(E142="","",IFERROR(VLOOKUP(E142,Services!$A$2:$D$4,3,FALSE),0))</f>
        <v/>
      </c>
      <c r="K142" s="9">
        <f>IF(C142="","",IFERROR(VLOOKUP(C142,Clients!$A$2:$M$51,11,FALSE),"Non"))</f>
        <v/>
      </c>
      <c r="L142" s="12">
        <f>IF(A142="","",IF(I142&lt;&gt;"Réalisé",0,IF(E142&lt;&gt;"Sexologie",0,IF(K142&lt;&gt;"Oui",0,IF(AND(B142&gt;=Parametres!$B$2,B142&lt;=Parametres!$B$3),Parametres!$B$5,0)))))</f>
        <v/>
      </c>
      <c r="M142" s="11">
        <f>IF(A142="","",IF(I142="Réalisé",ROUND(H142*J142,2),0))</f>
        <v/>
      </c>
      <c r="N142" s="11">
        <f>IF(A142="","",ROUND(M142*L142,2))</f>
        <v/>
      </c>
      <c r="O142" s="11">
        <f>IF(A142="","",ROUND(M142-N142,2))</f>
        <v/>
      </c>
      <c r="P142" s="8"/>
      <c r="Q142" s="8"/>
      <c r="R142" s="13">
        <f>IF(A142="","",IF(I142="Réalisé",H142,0))</f>
        <v/>
      </c>
      <c r="S142" s="9">
        <f>IF(A142="","",IF(COUNTIF($A$2:$A$301,A142)&gt;1,"DOUBLON RDV",IF(COUNTIF(Clients!$A$2:$A$51,C142)&lt;&gt;1,"Client à corriger",IF(COUNTIF(Services!$A$2:$A$4,E142)&lt;&gt;1,"Service à corriger",IF(OR(NOT(ISNUMBER(B142)),G142&lt;=0,H142&lt;0,COUNTIF(ListeStatuts,I142)&lt;&gt;1,COUNTIF(ListeFactures,P142)&lt;&gt;1),"Saisie à corriger",IF(AND(I142="Réalisé",OR(H142&lt;=0,B142&gt;Parametres!$B$7)),"Réalisation à vérifier",IF(AND(P142="Émise",OR(Q142="",I142&lt;&gt;"Réalisé")),"Facture à corriger",IF(AND(Q142&lt;&gt;"",COUNTIF($Q$2:$Q$301,Q142)&gt;1),"DOUBLON FACTURE",IF(AND(I142="Réalisé",ABS(G142-H142)&gt;0.001,T142=""),"Écart heures","OK")))))))))</f>
        <v/>
      </c>
      <c r="T142" s="8"/>
    </row>
    <row r="143" spans="1:20" ht="22" customHeight="1">
      <c r="A143" s="8"/>
      <c r="B143" s="6"/>
      <c r="C143" s="8"/>
      <c r="D143" s="9">
        <f>IF(C143="","",IFERROR(VLOOKUP(C143,Clients!$A$2:$M$51,12,FALSE),"CLIENT INCONNU"))</f>
        <v/>
      </c>
      <c r="E143" s="8"/>
      <c r="F143" s="9">
        <f>IF(E143="","",IFERROR(VLOOKUP(E143,Services!$A$2:$D$4,2,FALSE),"SERVICE INCONNU"))</f>
        <v/>
      </c>
      <c r="G143" s="8"/>
      <c r="H143" s="8"/>
      <c r="I143" s="8"/>
      <c r="J143" s="11">
        <f>IF(E143="","",IFERROR(VLOOKUP(E143,Services!$A$2:$D$4,3,FALSE),0))</f>
        <v/>
      </c>
      <c r="K143" s="9">
        <f>IF(C143="","",IFERROR(VLOOKUP(C143,Clients!$A$2:$M$51,11,FALSE),"Non"))</f>
        <v/>
      </c>
      <c r="L143" s="12">
        <f>IF(A143="","",IF(I143&lt;&gt;"Réalisé",0,IF(E143&lt;&gt;"Sexologie",0,IF(K143&lt;&gt;"Oui",0,IF(AND(B143&gt;=Parametres!$B$2,B143&lt;=Parametres!$B$3),Parametres!$B$5,0)))))</f>
        <v/>
      </c>
      <c r="M143" s="11">
        <f>IF(A143="","",IF(I143="Réalisé",ROUND(H143*J143,2),0))</f>
        <v/>
      </c>
      <c r="N143" s="11">
        <f>IF(A143="","",ROUND(M143*L143,2))</f>
        <v/>
      </c>
      <c r="O143" s="11">
        <f>IF(A143="","",ROUND(M143-N143,2))</f>
        <v/>
      </c>
      <c r="P143" s="8"/>
      <c r="Q143" s="8"/>
      <c r="R143" s="13">
        <f>IF(A143="","",IF(I143="Réalisé",H143,0))</f>
        <v/>
      </c>
      <c r="S143" s="9">
        <f>IF(A143="","",IF(COUNTIF($A$2:$A$301,A143)&gt;1,"DOUBLON RDV",IF(COUNTIF(Clients!$A$2:$A$51,C143)&lt;&gt;1,"Client à corriger",IF(COUNTIF(Services!$A$2:$A$4,E143)&lt;&gt;1,"Service à corriger",IF(OR(NOT(ISNUMBER(B143)),G143&lt;=0,H143&lt;0,COUNTIF(ListeStatuts,I143)&lt;&gt;1,COUNTIF(ListeFactures,P143)&lt;&gt;1),"Saisie à corriger",IF(AND(I143="Réalisé",OR(H143&lt;=0,B143&gt;Parametres!$B$7)),"Réalisation à vérifier",IF(AND(P143="Émise",OR(Q143="",I143&lt;&gt;"Réalisé")),"Facture à corriger",IF(AND(Q143&lt;&gt;"",COUNTIF($Q$2:$Q$301,Q143)&gt;1),"DOUBLON FACTURE",IF(AND(I143="Réalisé",ABS(G143-H143)&gt;0.001,T143=""),"Écart heures","OK")))))))))</f>
        <v/>
      </c>
      <c r="T143" s="8"/>
    </row>
    <row r="144" spans="1:20" ht="22" customHeight="1">
      <c r="A144" s="8"/>
      <c r="B144" s="6"/>
      <c r="C144" s="8"/>
      <c r="D144" s="9">
        <f>IF(C144="","",IFERROR(VLOOKUP(C144,Clients!$A$2:$M$51,12,FALSE),"CLIENT INCONNU"))</f>
        <v/>
      </c>
      <c r="E144" s="8"/>
      <c r="F144" s="9">
        <f>IF(E144="","",IFERROR(VLOOKUP(E144,Services!$A$2:$D$4,2,FALSE),"SERVICE INCONNU"))</f>
        <v/>
      </c>
      <c r="G144" s="8"/>
      <c r="H144" s="8"/>
      <c r="I144" s="8"/>
      <c r="J144" s="11">
        <f>IF(E144="","",IFERROR(VLOOKUP(E144,Services!$A$2:$D$4,3,FALSE),0))</f>
        <v/>
      </c>
      <c r="K144" s="9">
        <f>IF(C144="","",IFERROR(VLOOKUP(C144,Clients!$A$2:$M$51,11,FALSE),"Non"))</f>
        <v/>
      </c>
      <c r="L144" s="12">
        <f>IF(A144="","",IF(I144&lt;&gt;"Réalisé",0,IF(E144&lt;&gt;"Sexologie",0,IF(K144&lt;&gt;"Oui",0,IF(AND(B144&gt;=Parametres!$B$2,B144&lt;=Parametres!$B$3),Parametres!$B$5,0)))))</f>
        <v/>
      </c>
      <c r="M144" s="11">
        <f>IF(A144="","",IF(I144="Réalisé",ROUND(H144*J144,2),0))</f>
        <v/>
      </c>
      <c r="N144" s="11">
        <f>IF(A144="","",ROUND(M144*L144,2))</f>
        <v/>
      </c>
      <c r="O144" s="11">
        <f>IF(A144="","",ROUND(M144-N144,2))</f>
        <v/>
      </c>
      <c r="P144" s="8"/>
      <c r="Q144" s="8"/>
      <c r="R144" s="13">
        <f>IF(A144="","",IF(I144="Réalisé",H144,0))</f>
        <v/>
      </c>
      <c r="S144" s="9">
        <f>IF(A144="","",IF(COUNTIF($A$2:$A$301,A144)&gt;1,"DOUBLON RDV",IF(COUNTIF(Clients!$A$2:$A$51,C144)&lt;&gt;1,"Client à corriger",IF(COUNTIF(Services!$A$2:$A$4,E144)&lt;&gt;1,"Service à corriger",IF(OR(NOT(ISNUMBER(B144)),G144&lt;=0,H144&lt;0,COUNTIF(ListeStatuts,I144)&lt;&gt;1,COUNTIF(ListeFactures,P144)&lt;&gt;1),"Saisie à corriger",IF(AND(I144="Réalisé",OR(H144&lt;=0,B144&gt;Parametres!$B$7)),"Réalisation à vérifier",IF(AND(P144="Émise",OR(Q144="",I144&lt;&gt;"Réalisé")),"Facture à corriger",IF(AND(Q144&lt;&gt;"",COUNTIF($Q$2:$Q$301,Q144)&gt;1),"DOUBLON FACTURE",IF(AND(I144="Réalisé",ABS(G144-H144)&gt;0.001,T144=""),"Écart heures","OK")))))))))</f>
        <v/>
      </c>
      <c r="T144" s="8"/>
    </row>
    <row r="145" spans="1:20" ht="22" customHeight="1">
      <c r="A145" s="8"/>
      <c r="B145" s="6"/>
      <c r="C145" s="8"/>
      <c r="D145" s="9">
        <f>IF(C145="","",IFERROR(VLOOKUP(C145,Clients!$A$2:$M$51,12,FALSE),"CLIENT INCONNU"))</f>
        <v/>
      </c>
      <c r="E145" s="8"/>
      <c r="F145" s="9">
        <f>IF(E145="","",IFERROR(VLOOKUP(E145,Services!$A$2:$D$4,2,FALSE),"SERVICE INCONNU"))</f>
        <v/>
      </c>
      <c r="G145" s="8"/>
      <c r="H145" s="8"/>
      <c r="I145" s="8"/>
      <c r="J145" s="11">
        <f>IF(E145="","",IFERROR(VLOOKUP(E145,Services!$A$2:$D$4,3,FALSE),0))</f>
        <v/>
      </c>
      <c r="K145" s="9">
        <f>IF(C145="","",IFERROR(VLOOKUP(C145,Clients!$A$2:$M$51,11,FALSE),"Non"))</f>
        <v/>
      </c>
      <c r="L145" s="12">
        <f>IF(A145="","",IF(I145&lt;&gt;"Réalisé",0,IF(E145&lt;&gt;"Sexologie",0,IF(K145&lt;&gt;"Oui",0,IF(AND(B145&gt;=Parametres!$B$2,B145&lt;=Parametres!$B$3),Parametres!$B$5,0)))))</f>
        <v/>
      </c>
      <c r="M145" s="11">
        <f>IF(A145="","",IF(I145="Réalisé",ROUND(H145*J145,2),0))</f>
        <v/>
      </c>
      <c r="N145" s="11">
        <f>IF(A145="","",ROUND(M145*L145,2))</f>
        <v/>
      </c>
      <c r="O145" s="11">
        <f>IF(A145="","",ROUND(M145-N145,2))</f>
        <v/>
      </c>
      <c r="P145" s="8"/>
      <c r="Q145" s="8"/>
      <c r="R145" s="13">
        <f>IF(A145="","",IF(I145="Réalisé",H145,0))</f>
        <v/>
      </c>
      <c r="S145" s="9">
        <f>IF(A145="","",IF(COUNTIF($A$2:$A$301,A145)&gt;1,"DOUBLON RDV",IF(COUNTIF(Clients!$A$2:$A$51,C145)&lt;&gt;1,"Client à corriger",IF(COUNTIF(Services!$A$2:$A$4,E145)&lt;&gt;1,"Service à corriger",IF(OR(NOT(ISNUMBER(B145)),G145&lt;=0,H145&lt;0,COUNTIF(ListeStatuts,I145)&lt;&gt;1,COUNTIF(ListeFactures,P145)&lt;&gt;1),"Saisie à corriger",IF(AND(I145="Réalisé",OR(H145&lt;=0,B145&gt;Parametres!$B$7)),"Réalisation à vérifier",IF(AND(P145="Émise",OR(Q145="",I145&lt;&gt;"Réalisé")),"Facture à corriger",IF(AND(Q145&lt;&gt;"",COUNTIF($Q$2:$Q$301,Q145)&gt;1),"DOUBLON FACTURE",IF(AND(I145="Réalisé",ABS(G145-H145)&gt;0.001,T145=""),"Écart heures","OK")))))))))</f>
        <v/>
      </c>
      <c r="T145" s="8"/>
    </row>
    <row r="146" spans="1:20" ht="22" customHeight="1">
      <c r="A146" s="8"/>
      <c r="B146" s="6"/>
      <c r="C146" s="8"/>
      <c r="D146" s="9">
        <f>IF(C146="","",IFERROR(VLOOKUP(C146,Clients!$A$2:$M$51,12,FALSE),"CLIENT INCONNU"))</f>
        <v/>
      </c>
      <c r="E146" s="8"/>
      <c r="F146" s="9">
        <f>IF(E146="","",IFERROR(VLOOKUP(E146,Services!$A$2:$D$4,2,FALSE),"SERVICE INCONNU"))</f>
        <v/>
      </c>
      <c r="G146" s="8"/>
      <c r="H146" s="8"/>
      <c r="I146" s="8"/>
      <c r="J146" s="11">
        <f>IF(E146="","",IFERROR(VLOOKUP(E146,Services!$A$2:$D$4,3,FALSE),0))</f>
        <v/>
      </c>
      <c r="K146" s="9">
        <f>IF(C146="","",IFERROR(VLOOKUP(C146,Clients!$A$2:$M$51,11,FALSE),"Non"))</f>
        <v/>
      </c>
      <c r="L146" s="12">
        <f>IF(A146="","",IF(I146&lt;&gt;"Réalisé",0,IF(E146&lt;&gt;"Sexologie",0,IF(K146&lt;&gt;"Oui",0,IF(AND(B146&gt;=Parametres!$B$2,B146&lt;=Parametres!$B$3),Parametres!$B$5,0)))))</f>
        <v/>
      </c>
      <c r="M146" s="11">
        <f>IF(A146="","",IF(I146="Réalisé",ROUND(H146*J146,2),0))</f>
        <v/>
      </c>
      <c r="N146" s="11">
        <f>IF(A146="","",ROUND(M146*L146,2))</f>
        <v/>
      </c>
      <c r="O146" s="11">
        <f>IF(A146="","",ROUND(M146-N146,2))</f>
        <v/>
      </c>
      <c r="P146" s="8"/>
      <c r="Q146" s="8"/>
      <c r="R146" s="13">
        <f>IF(A146="","",IF(I146="Réalisé",H146,0))</f>
        <v/>
      </c>
      <c r="S146" s="9">
        <f>IF(A146="","",IF(COUNTIF($A$2:$A$301,A146)&gt;1,"DOUBLON RDV",IF(COUNTIF(Clients!$A$2:$A$51,C146)&lt;&gt;1,"Client à corriger",IF(COUNTIF(Services!$A$2:$A$4,E146)&lt;&gt;1,"Service à corriger",IF(OR(NOT(ISNUMBER(B146)),G146&lt;=0,H146&lt;0,COUNTIF(ListeStatuts,I146)&lt;&gt;1,COUNTIF(ListeFactures,P146)&lt;&gt;1),"Saisie à corriger",IF(AND(I146="Réalisé",OR(H146&lt;=0,B146&gt;Parametres!$B$7)),"Réalisation à vérifier",IF(AND(P146="Émise",OR(Q146="",I146&lt;&gt;"Réalisé")),"Facture à corriger",IF(AND(Q146&lt;&gt;"",COUNTIF($Q$2:$Q$301,Q146)&gt;1),"DOUBLON FACTURE",IF(AND(I146="Réalisé",ABS(G146-H146)&gt;0.001,T146=""),"Écart heures","OK")))))))))</f>
        <v/>
      </c>
      <c r="T146" s="8"/>
    </row>
    <row r="147" spans="1:20" ht="22" customHeight="1">
      <c r="A147" s="8"/>
      <c r="B147" s="6"/>
      <c r="C147" s="8"/>
      <c r="D147" s="9">
        <f>IF(C147="","",IFERROR(VLOOKUP(C147,Clients!$A$2:$M$51,12,FALSE),"CLIENT INCONNU"))</f>
        <v/>
      </c>
      <c r="E147" s="8"/>
      <c r="F147" s="9">
        <f>IF(E147="","",IFERROR(VLOOKUP(E147,Services!$A$2:$D$4,2,FALSE),"SERVICE INCONNU"))</f>
        <v/>
      </c>
      <c r="G147" s="8"/>
      <c r="H147" s="8"/>
      <c r="I147" s="8"/>
      <c r="J147" s="11">
        <f>IF(E147="","",IFERROR(VLOOKUP(E147,Services!$A$2:$D$4,3,FALSE),0))</f>
        <v/>
      </c>
      <c r="K147" s="9">
        <f>IF(C147="","",IFERROR(VLOOKUP(C147,Clients!$A$2:$M$51,11,FALSE),"Non"))</f>
        <v/>
      </c>
      <c r="L147" s="12">
        <f>IF(A147="","",IF(I147&lt;&gt;"Réalisé",0,IF(E147&lt;&gt;"Sexologie",0,IF(K147&lt;&gt;"Oui",0,IF(AND(B147&gt;=Parametres!$B$2,B147&lt;=Parametres!$B$3),Parametres!$B$5,0)))))</f>
        <v/>
      </c>
      <c r="M147" s="11">
        <f>IF(A147="","",IF(I147="Réalisé",ROUND(H147*J147,2),0))</f>
        <v/>
      </c>
      <c r="N147" s="11">
        <f>IF(A147="","",ROUND(M147*L147,2))</f>
        <v/>
      </c>
      <c r="O147" s="11">
        <f>IF(A147="","",ROUND(M147-N147,2))</f>
        <v/>
      </c>
      <c r="P147" s="8"/>
      <c r="Q147" s="8"/>
      <c r="R147" s="13">
        <f>IF(A147="","",IF(I147="Réalisé",H147,0))</f>
        <v/>
      </c>
      <c r="S147" s="9">
        <f>IF(A147="","",IF(COUNTIF($A$2:$A$301,A147)&gt;1,"DOUBLON RDV",IF(COUNTIF(Clients!$A$2:$A$51,C147)&lt;&gt;1,"Client à corriger",IF(COUNTIF(Services!$A$2:$A$4,E147)&lt;&gt;1,"Service à corriger",IF(OR(NOT(ISNUMBER(B147)),G147&lt;=0,H147&lt;0,COUNTIF(ListeStatuts,I147)&lt;&gt;1,COUNTIF(ListeFactures,P147)&lt;&gt;1),"Saisie à corriger",IF(AND(I147="Réalisé",OR(H147&lt;=0,B147&gt;Parametres!$B$7)),"Réalisation à vérifier",IF(AND(P147="Émise",OR(Q147="",I147&lt;&gt;"Réalisé")),"Facture à corriger",IF(AND(Q147&lt;&gt;"",COUNTIF($Q$2:$Q$301,Q147)&gt;1),"DOUBLON FACTURE",IF(AND(I147="Réalisé",ABS(G147-H147)&gt;0.001,T147=""),"Écart heures","OK")))))))))</f>
        <v/>
      </c>
      <c r="T147" s="8"/>
    </row>
    <row r="148" spans="1:20" ht="22" customHeight="1">
      <c r="A148" s="8"/>
      <c r="B148" s="6"/>
      <c r="C148" s="8"/>
      <c r="D148" s="9">
        <f>IF(C148="","",IFERROR(VLOOKUP(C148,Clients!$A$2:$M$51,12,FALSE),"CLIENT INCONNU"))</f>
        <v/>
      </c>
      <c r="E148" s="8"/>
      <c r="F148" s="9">
        <f>IF(E148="","",IFERROR(VLOOKUP(E148,Services!$A$2:$D$4,2,FALSE),"SERVICE INCONNU"))</f>
        <v/>
      </c>
      <c r="G148" s="8"/>
      <c r="H148" s="8"/>
      <c r="I148" s="8"/>
      <c r="J148" s="11">
        <f>IF(E148="","",IFERROR(VLOOKUP(E148,Services!$A$2:$D$4,3,FALSE),0))</f>
        <v/>
      </c>
      <c r="K148" s="9">
        <f>IF(C148="","",IFERROR(VLOOKUP(C148,Clients!$A$2:$M$51,11,FALSE),"Non"))</f>
        <v/>
      </c>
      <c r="L148" s="12">
        <f>IF(A148="","",IF(I148&lt;&gt;"Réalisé",0,IF(E148&lt;&gt;"Sexologie",0,IF(K148&lt;&gt;"Oui",0,IF(AND(B148&gt;=Parametres!$B$2,B148&lt;=Parametres!$B$3),Parametres!$B$5,0)))))</f>
        <v/>
      </c>
      <c r="M148" s="11">
        <f>IF(A148="","",IF(I148="Réalisé",ROUND(H148*J148,2),0))</f>
        <v/>
      </c>
      <c r="N148" s="11">
        <f>IF(A148="","",ROUND(M148*L148,2))</f>
        <v/>
      </c>
      <c r="O148" s="11">
        <f>IF(A148="","",ROUND(M148-N148,2))</f>
        <v/>
      </c>
      <c r="P148" s="8"/>
      <c r="Q148" s="8"/>
      <c r="R148" s="13">
        <f>IF(A148="","",IF(I148="Réalisé",H148,0))</f>
        <v/>
      </c>
      <c r="S148" s="9">
        <f>IF(A148="","",IF(COUNTIF($A$2:$A$301,A148)&gt;1,"DOUBLON RDV",IF(COUNTIF(Clients!$A$2:$A$51,C148)&lt;&gt;1,"Client à corriger",IF(COUNTIF(Services!$A$2:$A$4,E148)&lt;&gt;1,"Service à corriger",IF(OR(NOT(ISNUMBER(B148)),G148&lt;=0,H148&lt;0,COUNTIF(ListeStatuts,I148)&lt;&gt;1,COUNTIF(ListeFactures,P148)&lt;&gt;1),"Saisie à corriger",IF(AND(I148="Réalisé",OR(H148&lt;=0,B148&gt;Parametres!$B$7)),"Réalisation à vérifier",IF(AND(P148="Émise",OR(Q148="",I148&lt;&gt;"Réalisé")),"Facture à corriger",IF(AND(Q148&lt;&gt;"",COUNTIF($Q$2:$Q$301,Q148)&gt;1),"DOUBLON FACTURE",IF(AND(I148="Réalisé",ABS(G148-H148)&gt;0.001,T148=""),"Écart heures","OK")))))))))</f>
        <v/>
      </c>
      <c r="T148" s="8"/>
    </row>
    <row r="149" spans="1:20" ht="22" customHeight="1">
      <c r="A149" s="8"/>
      <c r="B149" s="6"/>
      <c r="C149" s="8"/>
      <c r="D149" s="9">
        <f>IF(C149="","",IFERROR(VLOOKUP(C149,Clients!$A$2:$M$51,12,FALSE),"CLIENT INCONNU"))</f>
        <v/>
      </c>
      <c r="E149" s="8"/>
      <c r="F149" s="9">
        <f>IF(E149="","",IFERROR(VLOOKUP(E149,Services!$A$2:$D$4,2,FALSE),"SERVICE INCONNU"))</f>
        <v/>
      </c>
      <c r="G149" s="8"/>
      <c r="H149" s="8"/>
      <c r="I149" s="8"/>
      <c r="J149" s="11">
        <f>IF(E149="","",IFERROR(VLOOKUP(E149,Services!$A$2:$D$4,3,FALSE),0))</f>
        <v/>
      </c>
      <c r="K149" s="9">
        <f>IF(C149="","",IFERROR(VLOOKUP(C149,Clients!$A$2:$M$51,11,FALSE),"Non"))</f>
        <v/>
      </c>
      <c r="L149" s="12">
        <f>IF(A149="","",IF(I149&lt;&gt;"Réalisé",0,IF(E149&lt;&gt;"Sexologie",0,IF(K149&lt;&gt;"Oui",0,IF(AND(B149&gt;=Parametres!$B$2,B149&lt;=Parametres!$B$3),Parametres!$B$5,0)))))</f>
        <v/>
      </c>
      <c r="M149" s="11">
        <f>IF(A149="","",IF(I149="Réalisé",ROUND(H149*J149,2),0))</f>
        <v/>
      </c>
      <c r="N149" s="11">
        <f>IF(A149="","",ROUND(M149*L149,2))</f>
        <v/>
      </c>
      <c r="O149" s="11">
        <f>IF(A149="","",ROUND(M149-N149,2))</f>
        <v/>
      </c>
      <c r="P149" s="8"/>
      <c r="Q149" s="8"/>
      <c r="R149" s="13">
        <f>IF(A149="","",IF(I149="Réalisé",H149,0))</f>
        <v/>
      </c>
      <c r="S149" s="9">
        <f>IF(A149="","",IF(COUNTIF($A$2:$A$301,A149)&gt;1,"DOUBLON RDV",IF(COUNTIF(Clients!$A$2:$A$51,C149)&lt;&gt;1,"Client à corriger",IF(COUNTIF(Services!$A$2:$A$4,E149)&lt;&gt;1,"Service à corriger",IF(OR(NOT(ISNUMBER(B149)),G149&lt;=0,H149&lt;0,COUNTIF(ListeStatuts,I149)&lt;&gt;1,COUNTIF(ListeFactures,P149)&lt;&gt;1),"Saisie à corriger",IF(AND(I149="Réalisé",OR(H149&lt;=0,B149&gt;Parametres!$B$7)),"Réalisation à vérifier",IF(AND(P149="Émise",OR(Q149="",I149&lt;&gt;"Réalisé")),"Facture à corriger",IF(AND(Q149&lt;&gt;"",COUNTIF($Q$2:$Q$301,Q149)&gt;1),"DOUBLON FACTURE",IF(AND(I149="Réalisé",ABS(G149-H149)&gt;0.001,T149=""),"Écart heures","OK")))))))))</f>
        <v/>
      </c>
      <c r="T149" s="8"/>
    </row>
    <row r="150" spans="1:20" ht="22" customHeight="1">
      <c r="A150" s="8"/>
      <c r="B150" s="6"/>
      <c r="C150" s="8"/>
      <c r="D150" s="9">
        <f>IF(C150="","",IFERROR(VLOOKUP(C150,Clients!$A$2:$M$51,12,FALSE),"CLIENT INCONNU"))</f>
        <v/>
      </c>
      <c r="E150" s="8"/>
      <c r="F150" s="9">
        <f>IF(E150="","",IFERROR(VLOOKUP(E150,Services!$A$2:$D$4,2,FALSE),"SERVICE INCONNU"))</f>
        <v/>
      </c>
      <c r="G150" s="8"/>
      <c r="H150" s="8"/>
      <c r="I150" s="8"/>
      <c r="J150" s="11">
        <f>IF(E150="","",IFERROR(VLOOKUP(E150,Services!$A$2:$D$4,3,FALSE),0))</f>
        <v/>
      </c>
      <c r="K150" s="9">
        <f>IF(C150="","",IFERROR(VLOOKUP(C150,Clients!$A$2:$M$51,11,FALSE),"Non"))</f>
        <v/>
      </c>
      <c r="L150" s="12">
        <f>IF(A150="","",IF(I150&lt;&gt;"Réalisé",0,IF(E150&lt;&gt;"Sexologie",0,IF(K150&lt;&gt;"Oui",0,IF(AND(B150&gt;=Parametres!$B$2,B150&lt;=Parametres!$B$3),Parametres!$B$5,0)))))</f>
        <v/>
      </c>
      <c r="M150" s="11">
        <f>IF(A150="","",IF(I150="Réalisé",ROUND(H150*J150,2),0))</f>
        <v/>
      </c>
      <c r="N150" s="11">
        <f>IF(A150="","",ROUND(M150*L150,2))</f>
        <v/>
      </c>
      <c r="O150" s="11">
        <f>IF(A150="","",ROUND(M150-N150,2))</f>
        <v/>
      </c>
      <c r="P150" s="8"/>
      <c r="Q150" s="8"/>
      <c r="R150" s="13">
        <f>IF(A150="","",IF(I150="Réalisé",H150,0))</f>
        <v/>
      </c>
      <c r="S150" s="9">
        <f>IF(A150="","",IF(COUNTIF($A$2:$A$301,A150)&gt;1,"DOUBLON RDV",IF(COUNTIF(Clients!$A$2:$A$51,C150)&lt;&gt;1,"Client à corriger",IF(COUNTIF(Services!$A$2:$A$4,E150)&lt;&gt;1,"Service à corriger",IF(OR(NOT(ISNUMBER(B150)),G150&lt;=0,H150&lt;0,COUNTIF(ListeStatuts,I150)&lt;&gt;1,COUNTIF(ListeFactures,P150)&lt;&gt;1),"Saisie à corriger",IF(AND(I150="Réalisé",OR(H150&lt;=0,B150&gt;Parametres!$B$7)),"Réalisation à vérifier",IF(AND(P150="Émise",OR(Q150="",I150&lt;&gt;"Réalisé")),"Facture à corriger",IF(AND(Q150&lt;&gt;"",COUNTIF($Q$2:$Q$301,Q150)&gt;1),"DOUBLON FACTURE",IF(AND(I150="Réalisé",ABS(G150-H150)&gt;0.001,T150=""),"Écart heures","OK")))))))))</f>
        <v/>
      </c>
      <c r="T150" s="8"/>
    </row>
    <row r="151" spans="1:20" ht="22" customHeight="1">
      <c r="A151" s="8"/>
      <c r="B151" s="6"/>
      <c r="C151" s="8"/>
      <c r="D151" s="9">
        <f>IF(C151="","",IFERROR(VLOOKUP(C151,Clients!$A$2:$M$51,12,FALSE),"CLIENT INCONNU"))</f>
        <v/>
      </c>
      <c r="E151" s="8"/>
      <c r="F151" s="9">
        <f>IF(E151="","",IFERROR(VLOOKUP(E151,Services!$A$2:$D$4,2,FALSE),"SERVICE INCONNU"))</f>
        <v/>
      </c>
      <c r="G151" s="8"/>
      <c r="H151" s="8"/>
      <c r="I151" s="8"/>
      <c r="J151" s="11">
        <f>IF(E151="","",IFERROR(VLOOKUP(E151,Services!$A$2:$D$4,3,FALSE),0))</f>
        <v/>
      </c>
      <c r="K151" s="9">
        <f>IF(C151="","",IFERROR(VLOOKUP(C151,Clients!$A$2:$M$51,11,FALSE),"Non"))</f>
        <v/>
      </c>
      <c r="L151" s="12">
        <f>IF(A151="","",IF(I151&lt;&gt;"Réalisé",0,IF(E151&lt;&gt;"Sexologie",0,IF(K151&lt;&gt;"Oui",0,IF(AND(B151&gt;=Parametres!$B$2,B151&lt;=Parametres!$B$3),Parametres!$B$5,0)))))</f>
        <v/>
      </c>
      <c r="M151" s="11">
        <f>IF(A151="","",IF(I151="Réalisé",ROUND(H151*J151,2),0))</f>
        <v/>
      </c>
      <c r="N151" s="11">
        <f>IF(A151="","",ROUND(M151*L151,2))</f>
        <v/>
      </c>
      <c r="O151" s="11">
        <f>IF(A151="","",ROUND(M151-N151,2))</f>
        <v/>
      </c>
      <c r="P151" s="8"/>
      <c r="Q151" s="8"/>
      <c r="R151" s="13">
        <f>IF(A151="","",IF(I151="Réalisé",H151,0))</f>
        <v/>
      </c>
      <c r="S151" s="9">
        <f>IF(A151="","",IF(COUNTIF($A$2:$A$301,A151)&gt;1,"DOUBLON RDV",IF(COUNTIF(Clients!$A$2:$A$51,C151)&lt;&gt;1,"Client à corriger",IF(COUNTIF(Services!$A$2:$A$4,E151)&lt;&gt;1,"Service à corriger",IF(OR(NOT(ISNUMBER(B151)),G151&lt;=0,H151&lt;0,COUNTIF(ListeStatuts,I151)&lt;&gt;1,COUNTIF(ListeFactures,P151)&lt;&gt;1),"Saisie à corriger",IF(AND(I151="Réalisé",OR(H151&lt;=0,B151&gt;Parametres!$B$7)),"Réalisation à vérifier",IF(AND(P151="Émise",OR(Q151="",I151&lt;&gt;"Réalisé")),"Facture à corriger",IF(AND(Q151&lt;&gt;"",COUNTIF($Q$2:$Q$301,Q151)&gt;1),"DOUBLON FACTURE",IF(AND(I151="Réalisé",ABS(G151-H151)&gt;0.001,T151=""),"Écart heures","OK")))))))))</f>
        <v/>
      </c>
      <c r="T151" s="8"/>
    </row>
    <row r="152" spans="1:20" ht="22" customHeight="1">
      <c r="A152" s="8"/>
      <c r="B152" s="6"/>
      <c r="C152" s="8"/>
      <c r="D152" s="9">
        <f>IF(C152="","",IFERROR(VLOOKUP(C152,Clients!$A$2:$M$51,12,FALSE),"CLIENT INCONNU"))</f>
        <v/>
      </c>
      <c r="E152" s="8"/>
      <c r="F152" s="9">
        <f>IF(E152="","",IFERROR(VLOOKUP(E152,Services!$A$2:$D$4,2,FALSE),"SERVICE INCONNU"))</f>
        <v/>
      </c>
      <c r="G152" s="8"/>
      <c r="H152" s="8"/>
      <c r="I152" s="8"/>
      <c r="J152" s="11">
        <f>IF(E152="","",IFERROR(VLOOKUP(E152,Services!$A$2:$D$4,3,FALSE),0))</f>
        <v/>
      </c>
      <c r="K152" s="9">
        <f>IF(C152="","",IFERROR(VLOOKUP(C152,Clients!$A$2:$M$51,11,FALSE),"Non"))</f>
        <v/>
      </c>
      <c r="L152" s="12">
        <f>IF(A152="","",IF(I152&lt;&gt;"Réalisé",0,IF(E152&lt;&gt;"Sexologie",0,IF(K152&lt;&gt;"Oui",0,IF(AND(B152&gt;=Parametres!$B$2,B152&lt;=Parametres!$B$3),Parametres!$B$5,0)))))</f>
        <v/>
      </c>
      <c r="M152" s="11">
        <f>IF(A152="","",IF(I152="Réalisé",ROUND(H152*J152,2),0))</f>
        <v/>
      </c>
      <c r="N152" s="11">
        <f>IF(A152="","",ROUND(M152*L152,2))</f>
        <v/>
      </c>
      <c r="O152" s="11">
        <f>IF(A152="","",ROUND(M152-N152,2))</f>
        <v/>
      </c>
      <c r="P152" s="8"/>
      <c r="Q152" s="8"/>
      <c r="R152" s="13">
        <f>IF(A152="","",IF(I152="Réalisé",H152,0))</f>
        <v/>
      </c>
      <c r="S152" s="9">
        <f>IF(A152="","",IF(COUNTIF($A$2:$A$301,A152)&gt;1,"DOUBLON RDV",IF(COUNTIF(Clients!$A$2:$A$51,C152)&lt;&gt;1,"Client à corriger",IF(COUNTIF(Services!$A$2:$A$4,E152)&lt;&gt;1,"Service à corriger",IF(OR(NOT(ISNUMBER(B152)),G152&lt;=0,H152&lt;0,COUNTIF(ListeStatuts,I152)&lt;&gt;1,COUNTIF(ListeFactures,P152)&lt;&gt;1),"Saisie à corriger",IF(AND(I152="Réalisé",OR(H152&lt;=0,B152&gt;Parametres!$B$7)),"Réalisation à vérifier",IF(AND(P152="Émise",OR(Q152="",I152&lt;&gt;"Réalisé")),"Facture à corriger",IF(AND(Q152&lt;&gt;"",COUNTIF($Q$2:$Q$301,Q152)&gt;1),"DOUBLON FACTURE",IF(AND(I152="Réalisé",ABS(G152-H152)&gt;0.001,T152=""),"Écart heures","OK")))))))))</f>
        <v/>
      </c>
      <c r="T152" s="8"/>
    </row>
    <row r="153" spans="1:20" ht="22" customHeight="1">
      <c r="A153" s="8"/>
      <c r="B153" s="6"/>
      <c r="C153" s="8"/>
      <c r="D153" s="9">
        <f>IF(C153="","",IFERROR(VLOOKUP(C153,Clients!$A$2:$M$51,12,FALSE),"CLIENT INCONNU"))</f>
        <v/>
      </c>
      <c r="E153" s="8"/>
      <c r="F153" s="9">
        <f>IF(E153="","",IFERROR(VLOOKUP(E153,Services!$A$2:$D$4,2,FALSE),"SERVICE INCONNU"))</f>
        <v/>
      </c>
      <c r="G153" s="8"/>
      <c r="H153" s="8"/>
      <c r="I153" s="8"/>
      <c r="J153" s="11">
        <f>IF(E153="","",IFERROR(VLOOKUP(E153,Services!$A$2:$D$4,3,FALSE),0))</f>
        <v/>
      </c>
      <c r="K153" s="9">
        <f>IF(C153="","",IFERROR(VLOOKUP(C153,Clients!$A$2:$M$51,11,FALSE),"Non"))</f>
        <v/>
      </c>
      <c r="L153" s="12">
        <f>IF(A153="","",IF(I153&lt;&gt;"Réalisé",0,IF(E153&lt;&gt;"Sexologie",0,IF(K153&lt;&gt;"Oui",0,IF(AND(B153&gt;=Parametres!$B$2,B153&lt;=Parametres!$B$3),Parametres!$B$5,0)))))</f>
        <v/>
      </c>
      <c r="M153" s="11">
        <f>IF(A153="","",IF(I153="Réalisé",ROUND(H153*J153,2),0))</f>
        <v/>
      </c>
      <c r="N153" s="11">
        <f>IF(A153="","",ROUND(M153*L153,2))</f>
        <v/>
      </c>
      <c r="O153" s="11">
        <f>IF(A153="","",ROUND(M153-N153,2))</f>
        <v/>
      </c>
      <c r="P153" s="8"/>
      <c r="Q153" s="8"/>
      <c r="R153" s="13">
        <f>IF(A153="","",IF(I153="Réalisé",H153,0))</f>
        <v/>
      </c>
      <c r="S153" s="9">
        <f>IF(A153="","",IF(COUNTIF($A$2:$A$301,A153)&gt;1,"DOUBLON RDV",IF(COUNTIF(Clients!$A$2:$A$51,C153)&lt;&gt;1,"Client à corriger",IF(COUNTIF(Services!$A$2:$A$4,E153)&lt;&gt;1,"Service à corriger",IF(OR(NOT(ISNUMBER(B153)),G153&lt;=0,H153&lt;0,COUNTIF(ListeStatuts,I153)&lt;&gt;1,COUNTIF(ListeFactures,P153)&lt;&gt;1),"Saisie à corriger",IF(AND(I153="Réalisé",OR(H153&lt;=0,B153&gt;Parametres!$B$7)),"Réalisation à vérifier",IF(AND(P153="Émise",OR(Q153="",I153&lt;&gt;"Réalisé")),"Facture à corriger",IF(AND(Q153&lt;&gt;"",COUNTIF($Q$2:$Q$301,Q153)&gt;1),"DOUBLON FACTURE",IF(AND(I153="Réalisé",ABS(G153-H153)&gt;0.001,T153=""),"Écart heures","OK")))))))))</f>
        <v/>
      </c>
      <c r="T153" s="8"/>
    </row>
    <row r="154" spans="1:20" ht="22" customHeight="1">
      <c r="A154" s="8"/>
      <c r="B154" s="6"/>
      <c r="C154" s="8"/>
      <c r="D154" s="9">
        <f>IF(C154="","",IFERROR(VLOOKUP(C154,Clients!$A$2:$M$51,12,FALSE),"CLIENT INCONNU"))</f>
        <v/>
      </c>
      <c r="E154" s="8"/>
      <c r="F154" s="9">
        <f>IF(E154="","",IFERROR(VLOOKUP(E154,Services!$A$2:$D$4,2,FALSE),"SERVICE INCONNU"))</f>
        <v/>
      </c>
      <c r="G154" s="8"/>
      <c r="H154" s="8"/>
      <c r="I154" s="8"/>
      <c r="J154" s="11">
        <f>IF(E154="","",IFERROR(VLOOKUP(E154,Services!$A$2:$D$4,3,FALSE),0))</f>
        <v/>
      </c>
      <c r="K154" s="9">
        <f>IF(C154="","",IFERROR(VLOOKUP(C154,Clients!$A$2:$M$51,11,FALSE),"Non"))</f>
        <v/>
      </c>
      <c r="L154" s="12">
        <f>IF(A154="","",IF(I154&lt;&gt;"Réalisé",0,IF(E154&lt;&gt;"Sexologie",0,IF(K154&lt;&gt;"Oui",0,IF(AND(B154&gt;=Parametres!$B$2,B154&lt;=Parametres!$B$3),Parametres!$B$5,0)))))</f>
        <v/>
      </c>
      <c r="M154" s="11">
        <f>IF(A154="","",IF(I154="Réalisé",ROUND(H154*J154,2),0))</f>
        <v/>
      </c>
      <c r="N154" s="11">
        <f>IF(A154="","",ROUND(M154*L154,2))</f>
        <v/>
      </c>
      <c r="O154" s="11">
        <f>IF(A154="","",ROUND(M154-N154,2))</f>
        <v/>
      </c>
      <c r="P154" s="8"/>
      <c r="Q154" s="8"/>
      <c r="R154" s="13">
        <f>IF(A154="","",IF(I154="Réalisé",H154,0))</f>
        <v/>
      </c>
      <c r="S154" s="9">
        <f>IF(A154="","",IF(COUNTIF($A$2:$A$301,A154)&gt;1,"DOUBLON RDV",IF(COUNTIF(Clients!$A$2:$A$51,C154)&lt;&gt;1,"Client à corriger",IF(COUNTIF(Services!$A$2:$A$4,E154)&lt;&gt;1,"Service à corriger",IF(OR(NOT(ISNUMBER(B154)),G154&lt;=0,H154&lt;0,COUNTIF(ListeStatuts,I154)&lt;&gt;1,COUNTIF(ListeFactures,P154)&lt;&gt;1),"Saisie à corriger",IF(AND(I154="Réalisé",OR(H154&lt;=0,B154&gt;Parametres!$B$7)),"Réalisation à vérifier",IF(AND(P154="Émise",OR(Q154="",I154&lt;&gt;"Réalisé")),"Facture à corriger",IF(AND(Q154&lt;&gt;"",COUNTIF($Q$2:$Q$301,Q154)&gt;1),"DOUBLON FACTURE",IF(AND(I154="Réalisé",ABS(G154-H154)&gt;0.001,T154=""),"Écart heures","OK")))))))))</f>
        <v/>
      </c>
      <c r="T154" s="8"/>
    </row>
    <row r="155" spans="1:20" ht="22" customHeight="1">
      <c r="A155" s="8"/>
      <c r="B155" s="6"/>
      <c r="C155" s="8"/>
      <c r="D155" s="9">
        <f>IF(C155="","",IFERROR(VLOOKUP(C155,Clients!$A$2:$M$51,12,FALSE),"CLIENT INCONNU"))</f>
        <v/>
      </c>
      <c r="E155" s="8"/>
      <c r="F155" s="9">
        <f>IF(E155="","",IFERROR(VLOOKUP(E155,Services!$A$2:$D$4,2,FALSE),"SERVICE INCONNU"))</f>
        <v/>
      </c>
      <c r="G155" s="8"/>
      <c r="H155" s="8"/>
      <c r="I155" s="8"/>
      <c r="J155" s="11">
        <f>IF(E155="","",IFERROR(VLOOKUP(E155,Services!$A$2:$D$4,3,FALSE),0))</f>
        <v/>
      </c>
      <c r="K155" s="9">
        <f>IF(C155="","",IFERROR(VLOOKUP(C155,Clients!$A$2:$M$51,11,FALSE),"Non"))</f>
        <v/>
      </c>
      <c r="L155" s="12">
        <f>IF(A155="","",IF(I155&lt;&gt;"Réalisé",0,IF(E155&lt;&gt;"Sexologie",0,IF(K155&lt;&gt;"Oui",0,IF(AND(B155&gt;=Parametres!$B$2,B155&lt;=Parametres!$B$3),Parametres!$B$5,0)))))</f>
        <v/>
      </c>
      <c r="M155" s="11">
        <f>IF(A155="","",IF(I155="Réalisé",ROUND(H155*J155,2),0))</f>
        <v/>
      </c>
      <c r="N155" s="11">
        <f>IF(A155="","",ROUND(M155*L155,2))</f>
        <v/>
      </c>
      <c r="O155" s="11">
        <f>IF(A155="","",ROUND(M155-N155,2))</f>
        <v/>
      </c>
      <c r="P155" s="8"/>
      <c r="Q155" s="8"/>
      <c r="R155" s="13">
        <f>IF(A155="","",IF(I155="Réalisé",H155,0))</f>
        <v/>
      </c>
      <c r="S155" s="9">
        <f>IF(A155="","",IF(COUNTIF($A$2:$A$301,A155)&gt;1,"DOUBLON RDV",IF(COUNTIF(Clients!$A$2:$A$51,C155)&lt;&gt;1,"Client à corriger",IF(COUNTIF(Services!$A$2:$A$4,E155)&lt;&gt;1,"Service à corriger",IF(OR(NOT(ISNUMBER(B155)),G155&lt;=0,H155&lt;0,COUNTIF(ListeStatuts,I155)&lt;&gt;1,COUNTIF(ListeFactures,P155)&lt;&gt;1),"Saisie à corriger",IF(AND(I155="Réalisé",OR(H155&lt;=0,B155&gt;Parametres!$B$7)),"Réalisation à vérifier",IF(AND(P155="Émise",OR(Q155="",I155&lt;&gt;"Réalisé")),"Facture à corriger",IF(AND(Q155&lt;&gt;"",COUNTIF($Q$2:$Q$301,Q155)&gt;1),"DOUBLON FACTURE",IF(AND(I155="Réalisé",ABS(G155-H155)&gt;0.001,T155=""),"Écart heures","OK")))))))))</f>
        <v/>
      </c>
      <c r="T155" s="8"/>
    </row>
    <row r="156" spans="1:20" ht="22" customHeight="1">
      <c r="A156" s="8"/>
      <c r="B156" s="6"/>
      <c r="C156" s="8"/>
      <c r="D156" s="9">
        <f>IF(C156="","",IFERROR(VLOOKUP(C156,Clients!$A$2:$M$51,12,FALSE),"CLIENT INCONNU"))</f>
        <v/>
      </c>
      <c r="E156" s="8"/>
      <c r="F156" s="9">
        <f>IF(E156="","",IFERROR(VLOOKUP(E156,Services!$A$2:$D$4,2,FALSE),"SERVICE INCONNU"))</f>
        <v/>
      </c>
      <c r="G156" s="8"/>
      <c r="H156" s="8"/>
      <c r="I156" s="8"/>
      <c r="J156" s="11">
        <f>IF(E156="","",IFERROR(VLOOKUP(E156,Services!$A$2:$D$4,3,FALSE),0))</f>
        <v/>
      </c>
      <c r="K156" s="9">
        <f>IF(C156="","",IFERROR(VLOOKUP(C156,Clients!$A$2:$M$51,11,FALSE),"Non"))</f>
        <v/>
      </c>
      <c r="L156" s="12">
        <f>IF(A156="","",IF(I156&lt;&gt;"Réalisé",0,IF(E156&lt;&gt;"Sexologie",0,IF(K156&lt;&gt;"Oui",0,IF(AND(B156&gt;=Parametres!$B$2,B156&lt;=Parametres!$B$3),Parametres!$B$5,0)))))</f>
        <v/>
      </c>
      <c r="M156" s="11">
        <f>IF(A156="","",IF(I156="Réalisé",ROUND(H156*J156,2),0))</f>
        <v/>
      </c>
      <c r="N156" s="11">
        <f>IF(A156="","",ROUND(M156*L156,2))</f>
        <v/>
      </c>
      <c r="O156" s="11">
        <f>IF(A156="","",ROUND(M156-N156,2))</f>
        <v/>
      </c>
      <c r="P156" s="8"/>
      <c r="Q156" s="8"/>
      <c r="R156" s="13">
        <f>IF(A156="","",IF(I156="Réalisé",H156,0))</f>
        <v/>
      </c>
      <c r="S156" s="9">
        <f>IF(A156="","",IF(COUNTIF($A$2:$A$301,A156)&gt;1,"DOUBLON RDV",IF(COUNTIF(Clients!$A$2:$A$51,C156)&lt;&gt;1,"Client à corriger",IF(COUNTIF(Services!$A$2:$A$4,E156)&lt;&gt;1,"Service à corriger",IF(OR(NOT(ISNUMBER(B156)),G156&lt;=0,H156&lt;0,COUNTIF(ListeStatuts,I156)&lt;&gt;1,COUNTIF(ListeFactures,P156)&lt;&gt;1),"Saisie à corriger",IF(AND(I156="Réalisé",OR(H156&lt;=0,B156&gt;Parametres!$B$7)),"Réalisation à vérifier",IF(AND(P156="Émise",OR(Q156="",I156&lt;&gt;"Réalisé")),"Facture à corriger",IF(AND(Q156&lt;&gt;"",COUNTIF($Q$2:$Q$301,Q156)&gt;1),"DOUBLON FACTURE",IF(AND(I156="Réalisé",ABS(G156-H156)&gt;0.001,T156=""),"Écart heures","OK")))))))))</f>
        <v/>
      </c>
      <c r="T156" s="8"/>
    </row>
    <row r="157" spans="1:20" ht="22" customHeight="1">
      <c r="A157" s="8"/>
      <c r="B157" s="6"/>
      <c r="C157" s="8"/>
      <c r="D157" s="9">
        <f>IF(C157="","",IFERROR(VLOOKUP(C157,Clients!$A$2:$M$51,12,FALSE),"CLIENT INCONNU"))</f>
        <v/>
      </c>
      <c r="E157" s="8"/>
      <c r="F157" s="9">
        <f>IF(E157="","",IFERROR(VLOOKUP(E157,Services!$A$2:$D$4,2,FALSE),"SERVICE INCONNU"))</f>
        <v/>
      </c>
      <c r="G157" s="8"/>
      <c r="H157" s="8"/>
      <c r="I157" s="8"/>
      <c r="J157" s="11">
        <f>IF(E157="","",IFERROR(VLOOKUP(E157,Services!$A$2:$D$4,3,FALSE),0))</f>
        <v/>
      </c>
      <c r="K157" s="9">
        <f>IF(C157="","",IFERROR(VLOOKUP(C157,Clients!$A$2:$M$51,11,FALSE),"Non"))</f>
        <v/>
      </c>
      <c r="L157" s="12">
        <f>IF(A157="","",IF(I157&lt;&gt;"Réalisé",0,IF(E157&lt;&gt;"Sexologie",0,IF(K157&lt;&gt;"Oui",0,IF(AND(B157&gt;=Parametres!$B$2,B157&lt;=Parametres!$B$3),Parametres!$B$5,0)))))</f>
        <v/>
      </c>
      <c r="M157" s="11">
        <f>IF(A157="","",IF(I157="Réalisé",ROUND(H157*J157,2),0))</f>
        <v/>
      </c>
      <c r="N157" s="11">
        <f>IF(A157="","",ROUND(M157*L157,2))</f>
        <v/>
      </c>
      <c r="O157" s="11">
        <f>IF(A157="","",ROUND(M157-N157,2))</f>
        <v/>
      </c>
      <c r="P157" s="8"/>
      <c r="Q157" s="8"/>
      <c r="R157" s="13">
        <f>IF(A157="","",IF(I157="Réalisé",H157,0))</f>
        <v/>
      </c>
      <c r="S157" s="9">
        <f>IF(A157="","",IF(COUNTIF($A$2:$A$301,A157)&gt;1,"DOUBLON RDV",IF(COUNTIF(Clients!$A$2:$A$51,C157)&lt;&gt;1,"Client à corriger",IF(COUNTIF(Services!$A$2:$A$4,E157)&lt;&gt;1,"Service à corriger",IF(OR(NOT(ISNUMBER(B157)),G157&lt;=0,H157&lt;0,COUNTIF(ListeStatuts,I157)&lt;&gt;1,COUNTIF(ListeFactures,P157)&lt;&gt;1),"Saisie à corriger",IF(AND(I157="Réalisé",OR(H157&lt;=0,B157&gt;Parametres!$B$7)),"Réalisation à vérifier",IF(AND(P157="Émise",OR(Q157="",I157&lt;&gt;"Réalisé")),"Facture à corriger",IF(AND(Q157&lt;&gt;"",COUNTIF($Q$2:$Q$301,Q157)&gt;1),"DOUBLON FACTURE",IF(AND(I157="Réalisé",ABS(G157-H157)&gt;0.001,T157=""),"Écart heures","OK")))))))))</f>
        <v/>
      </c>
      <c r="T157" s="8"/>
    </row>
    <row r="158" spans="1:20" ht="22" customHeight="1">
      <c r="A158" s="8"/>
      <c r="B158" s="6"/>
      <c r="C158" s="8"/>
      <c r="D158" s="9">
        <f>IF(C158="","",IFERROR(VLOOKUP(C158,Clients!$A$2:$M$51,12,FALSE),"CLIENT INCONNU"))</f>
        <v/>
      </c>
      <c r="E158" s="8"/>
      <c r="F158" s="9">
        <f>IF(E158="","",IFERROR(VLOOKUP(E158,Services!$A$2:$D$4,2,FALSE),"SERVICE INCONNU"))</f>
        <v/>
      </c>
      <c r="G158" s="8"/>
      <c r="H158" s="8"/>
      <c r="I158" s="8"/>
      <c r="J158" s="11">
        <f>IF(E158="","",IFERROR(VLOOKUP(E158,Services!$A$2:$D$4,3,FALSE),0))</f>
        <v/>
      </c>
      <c r="K158" s="9">
        <f>IF(C158="","",IFERROR(VLOOKUP(C158,Clients!$A$2:$M$51,11,FALSE),"Non"))</f>
        <v/>
      </c>
      <c r="L158" s="12">
        <f>IF(A158="","",IF(I158&lt;&gt;"Réalisé",0,IF(E158&lt;&gt;"Sexologie",0,IF(K158&lt;&gt;"Oui",0,IF(AND(B158&gt;=Parametres!$B$2,B158&lt;=Parametres!$B$3),Parametres!$B$5,0)))))</f>
        <v/>
      </c>
      <c r="M158" s="11">
        <f>IF(A158="","",IF(I158="Réalisé",ROUND(H158*J158,2),0))</f>
        <v/>
      </c>
      <c r="N158" s="11">
        <f>IF(A158="","",ROUND(M158*L158,2))</f>
        <v/>
      </c>
      <c r="O158" s="11">
        <f>IF(A158="","",ROUND(M158-N158,2))</f>
        <v/>
      </c>
      <c r="P158" s="8"/>
      <c r="Q158" s="8"/>
      <c r="R158" s="13">
        <f>IF(A158="","",IF(I158="Réalisé",H158,0))</f>
        <v/>
      </c>
      <c r="S158" s="9">
        <f>IF(A158="","",IF(COUNTIF($A$2:$A$301,A158)&gt;1,"DOUBLON RDV",IF(COUNTIF(Clients!$A$2:$A$51,C158)&lt;&gt;1,"Client à corriger",IF(COUNTIF(Services!$A$2:$A$4,E158)&lt;&gt;1,"Service à corriger",IF(OR(NOT(ISNUMBER(B158)),G158&lt;=0,H158&lt;0,COUNTIF(ListeStatuts,I158)&lt;&gt;1,COUNTIF(ListeFactures,P158)&lt;&gt;1),"Saisie à corriger",IF(AND(I158="Réalisé",OR(H158&lt;=0,B158&gt;Parametres!$B$7)),"Réalisation à vérifier",IF(AND(P158="Émise",OR(Q158="",I158&lt;&gt;"Réalisé")),"Facture à corriger",IF(AND(Q158&lt;&gt;"",COUNTIF($Q$2:$Q$301,Q158)&gt;1),"DOUBLON FACTURE",IF(AND(I158="Réalisé",ABS(G158-H158)&gt;0.001,T158=""),"Écart heures","OK")))))))))</f>
        <v/>
      </c>
      <c r="T158" s="8"/>
    </row>
    <row r="159" spans="1:20" ht="22" customHeight="1">
      <c r="A159" s="8"/>
      <c r="B159" s="6"/>
      <c r="C159" s="8"/>
      <c r="D159" s="9">
        <f>IF(C159="","",IFERROR(VLOOKUP(C159,Clients!$A$2:$M$51,12,FALSE),"CLIENT INCONNU"))</f>
        <v/>
      </c>
      <c r="E159" s="8"/>
      <c r="F159" s="9">
        <f>IF(E159="","",IFERROR(VLOOKUP(E159,Services!$A$2:$D$4,2,FALSE),"SERVICE INCONNU"))</f>
        <v/>
      </c>
      <c r="G159" s="8"/>
      <c r="H159" s="8"/>
      <c r="I159" s="8"/>
      <c r="J159" s="11">
        <f>IF(E159="","",IFERROR(VLOOKUP(E159,Services!$A$2:$D$4,3,FALSE),0))</f>
        <v/>
      </c>
      <c r="K159" s="9">
        <f>IF(C159="","",IFERROR(VLOOKUP(C159,Clients!$A$2:$M$51,11,FALSE),"Non"))</f>
        <v/>
      </c>
      <c r="L159" s="12">
        <f>IF(A159="","",IF(I159&lt;&gt;"Réalisé",0,IF(E159&lt;&gt;"Sexologie",0,IF(K159&lt;&gt;"Oui",0,IF(AND(B159&gt;=Parametres!$B$2,B159&lt;=Parametres!$B$3),Parametres!$B$5,0)))))</f>
        <v/>
      </c>
      <c r="M159" s="11">
        <f>IF(A159="","",IF(I159="Réalisé",ROUND(H159*J159,2),0))</f>
        <v/>
      </c>
      <c r="N159" s="11">
        <f>IF(A159="","",ROUND(M159*L159,2))</f>
        <v/>
      </c>
      <c r="O159" s="11">
        <f>IF(A159="","",ROUND(M159-N159,2))</f>
        <v/>
      </c>
      <c r="P159" s="8"/>
      <c r="Q159" s="8"/>
      <c r="R159" s="13">
        <f>IF(A159="","",IF(I159="Réalisé",H159,0))</f>
        <v/>
      </c>
      <c r="S159" s="9">
        <f>IF(A159="","",IF(COUNTIF($A$2:$A$301,A159)&gt;1,"DOUBLON RDV",IF(COUNTIF(Clients!$A$2:$A$51,C159)&lt;&gt;1,"Client à corriger",IF(COUNTIF(Services!$A$2:$A$4,E159)&lt;&gt;1,"Service à corriger",IF(OR(NOT(ISNUMBER(B159)),G159&lt;=0,H159&lt;0,COUNTIF(ListeStatuts,I159)&lt;&gt;1,COUNTIF(ListeFactures,P159)&lt;&gt;1),"Saisie à corriger",IF(AND(I159="Réalisé",OR(H159&lt;=0,B159&gt;Parametres!$B$7)),"Réalisation à vérifier",IF(AND(P159="Émise",OR(Q159="",I159&lt;&gt;"Réalisé")),"Facture à corriger",IF(AND(Q159&lt;&gt;"",COUNTIF($Q$2:$Q$301,Q159)&gt;1),"DOUBLON FACTURE",IF(AND(I159="Réalisé",ABS(G159-H159)&gt;0.001,T159=""),"Écart heures","OK")))))))))</f>
        <v/>
      </c>
      <c r="T159" s="8"/>
    </row>
    <row r="160" spans="1:20" ht="22" customHeight="1">
      <c r="A160" s="8"/>
      <c r="B160" s="6"/>
      <c r="C160" s="8"/>
      <c r="D160" s="9">
        <f>IF(C160="","",IFERROR(VLOOKUP(C160,Clients!$A$2:$M$51,12,FALSE),"CLIENT INCONNU"))</f>
        <v/>
      </c>
      <c r="E160" s="8"/>
      <c r="F160" s="9">
        <f>IF(E160="","",IFERROR(VLOOKUP(E160,Services!$A$2:$D$4,2,FALSE),"SERVICE INCONNU"))</f>
        <v/>
      </c>
      <c r="G160" s="8"/>
      <c r="H160" s="8"/>
      <c r="I160" s="8"/>
      <c r="J160" s="11">
        <f>IF(E160="","",IFERROR(VLOOKUP(E160,Services!$A$2:$D$4,3,FALSE),0))</f>
        <v/>
      </c>
      <c r="K160" s="9">
        <f>IF(C160="","",IFERROR(VLOOKUP(C160,Clients!$A$2:$M$51,11,FALSE),"Non"))</f>
        <v/>
      </c>
      <c r="L160" s="12">
        <f>IF(A160="","",IF(I160&lt;&gt;"Réalisé",0,IF(E160&lt;&gt;"Sexologie",0,IF(K160&lt;&gt;"Oui",0,IF(AND(B160&gt;=Parametres!$B$2,B160&lt;=Parametres!$B$3),Parametres!$B$5,0)))))</f>
        <v/>
      </c>
      <c r="M160" s="11">
        <f>IF(A160="","",IF(I160="Réalisé",ROUND(H160*J160,2),0))</f>
        <v/>
      </c>
      <c r="N160" s="11">
        <f>IF(A160="","",ROUND(M160*L160,2))</f>
        <v/>
      </c>
      <c r="O160" s="11">
        <f>IF(A160="","",ROUND(M160-N160,2))</f>
        <v/>
      </c>
      <c r="P160" s="8"/>
      <c r="Q160" s="8"/>
      <c r="R160" s="13">
        <f>IF(A160="","",IF(I160="Réalisé",H160,0))</f>
        <v/>
      </c>
      <c r="S160" s="9">
        <f>IF(A160="","",IF(COUNTIF($A$2:$A$301,A160)&gt;1,"DOUBLON RDV",IF(COUNTIF(Clients!$A$2:$A$51,C160)&lt;&gt;1,"Client à corriger",IF(COUNTIF(Services!$A$2:$A$4,E160)&lt;&gt;1,"Service à corriger",IF(OR(NOT(ISNUMBER(B160)),G160&lt;=0,H160&lt;0,COUNTIF(ListeStatuts,I160)&lt;&gt;1,COUNTIF(ListeFactures,P160)&lt;&gt;1),"Saisie à corriger",IF(AND(I160="Réalisé",OR(H160&lt;=0,B160&gt;Parametres!$B$7)),"Réalisation à vérifier",IF(AND(P160="Émise",OR(Q160="",I160&lt;&gt;"Réalisé")),"Facture à corriger",IF(AND(Q160&lt;&gt;"",COUNTIF($Q$2:$Q$301,Q160)&gt;1),"DOUBLON FACTURE",IF(AND(I160="Réalisé",ABS(G160-H160)&gt;0.001,T160=""),"Écart heures","OK")))))))))</f>
        <v/>
      </c>
      <c r="T160" s="8"/>
    </row>
    <row r="161" spans="1:20" ht="22" customHeight="1">
      <c r="A161" s="8"/>
      <c r="B161" s="6"/>
      <c r="C161" s="8"/>
      <c r="D161" s="9">
        <f>IF(C161="","",IFERROR(VLOOKUP(C161,Clients!$A$2:$M$51,12,FALSE),"CLIENT INCONNU"))</f>
        <v/>
      </c>
      <c r="E161" s="8"/>
      <c r="F161" s="9">
        <f>IF(E161="","",IFERROR(VLOOKUP(E161,Services!$A$2:$D$4,2,FALSE),"SERVICE INCONNU"))</f>
        <v/>
      </c>
      <c r="G161" s="8"/>
      <c r="H161" s="8"/>
      <c r="I161" s="8"/>
      <c r="J161" s="11">
        <f>IF(E161="","",IFERROR(VLOOKUP(E161,Services!$A$2:$D$4,3,FALSE),0))</f>
        <v/>
      </c>
      <c r="K161" s="9">
        <f>IF(C161="","",IFERROR(VLOOKUP(C161,Clients!$A$2:$M$51,11,FALSE),"Non"))</f>
        <v/>
      </c>
      <c r="L161" s="12">
        <f>IF(A161="","",IF(I161&lt;&gt;"Réalisé",0,IF(E161&lt;&gt;"Sexologie",0,IF(K161&lt;&gt;"Oui",0,IF(AND(B161&gt;=Parametres!$B$2,B161&lt;=Parametres!$B$3),Parametres!$B$5,0)))))</f>
        <v/>
      </c>
      <c r="M161" s="11">
        <f>IF(A161="","",IF(I161="Réalisé",ROUND(H161*J161,2),0))</f>
        <v/>
      </c>
      <c r="N161" s="11">
        <f>IF(A161="","",ROUND(M161*L161,2))</f>
        <v/>
      </c>
      <c r="O161" s="11">
        <f>IF(A161="","",ROUND(M161-N161,2))</f>
        <v/>
      </c>
      <c r="P161" s="8"/>
      <c r="Q161" s="8"/>
      <c r="R161" s="13">
        <f>IF(A161="","",IF(I161="Réalisé",H161,0))</f>
        <v/>
      </c>
      <c r="S161" s="9">
        <f>IF(A161="","",IF(COUNTIF($A$2:$A$301,A161)&gt;1,"DOUBLON RDV",IF(COUNTIF(Clients!$A$2:$A$51,C161)&lt;&gt;1,"Client à corriger",IF(COUNTIF(Services!$A$2:$A$4,E161)&lt;&gt;1,"Service à corriger",IF(OR(NOT(ISNUMBER(B161)),G161&lt;=0,H161&lt;0,COUNTIF(ListeStatuts,I161)&lt;&gt;1,COUNTIF(ListeFactures,P161)&lt;&gt;1),"Saisie à corriger",IF(AND(I161="Réalisé",OR(H161&lt;=0,B161&gt;Parametres!$B$7)),"Réalisation à vérifier",IF(AND(P161="Émise",OR(Q161="",I161&lt;&gt;"Réalisé")),"Facture à corriger",IF(AND(Q161&lt;&gt;"",COUNTIF($Q$2:$Q$301,Q161)&gt;1),"DOUBLON FACTURE",IF(AND(I161="Réalisé",ABS(G161-H161)&gt;0.001,T161=""),"Écart heures","OK")))))))))</f>
        <v/>
      </c>
      <c r="T161" s="8"/>
    </row>
    <row r="162" spans="1:20" ht="22" customHeight="1">
      <c r="A162" s="8"/>
      <c r="B162" s="6"/>
      <c r="C162" s="8"/>
      <c r="D162" s="9">
        <f>IF(C162="","",IFERROR(VLOOKUP(C162,Clients!$A$2:$M$51,12,FALSE),"CLIENT INCONNU"))</f>
        <v/>
      </c>
      <c r="E162" s="8"/>
      <c r="F162" s="9">
        <f>IF(E162="","",IFERROR(VLOOKUP(E162,Services!$A$2:$D$4,2,FALSE),"SERVICE INCONNU"))</f>
        <v/>
      </c>
      <c r="G162" s="8"/>
      <c r="H162" s="8"/>
      <c r="I162" s="8"/>
      <c r="J162" s="11">
        <f>IF(E162="","",IFERROR(VLOOKUP(E162,Services!$A$2:$D$4,3,FALSE),0))</f>
        <v/>
      </c>
      <c r="K162" s="9">
        <f>IF(C162="","",IFERROR(VLOOKUP(C162,Clients!$A$2:$M$51,11,FALSE),"Non"))</f>
        <v/>
      </c>
      <c r="L162" s="12">
        <f>IF(A162="","",IF(I162&lt;&gt;"Réalisé",0,IF(E162&lt;&gt;"Sexologie",0,IF(K162&lt;&gt;"Oui",0,IF(AND(B162&gt;=Parametres!$B$2,B162&lt;=Parametres!$B$3),Parametres!$B$5,0)))))</f>
        <v/>
      </c>
      <c r="M162" s="11">
        <f>IF(A162="","",IF(I162="Réalisé",ROUND(H162*J162,2),0))</f>
        <v/>
      </c>
      <c r="N162" s="11">
        <f>IF(A162="","",ROUND(M162*L162,2))</f>
        <v/>
      </c>
      <c r="O162" s="11">
        <f>IF(A162="","",ROUND(M162-N162,2))</f>
        <v/>
      </c>
      <c r="P162" s="8"/>
      <c r="Q162" s="8"/>
      <c r="R162" s="13">
        <f>IF(A162="","",IF(I162="Réalisé",H162,0))</f>
        <v/>
      </c>
      <c r="S162" s="9">
        <f>IF(A162="","",IF(COUNTIF($A$2:$A$301,A162)&gt;1,"DOUBLON RDV",IF(COUNTIF(Clients!$A$2:$A$51,C162)&lt;&gt;1,"Client à corriger",IF(COUNTIF(Services!$A$2:$A$4,E162)&lt;&gt;1,"Service à corriger",IF(OR(NOT(ISNUMBER(B162)),G162&lt;=0,H162&lt;0,COUNTIF(ListeStatuts,I162)&lt;&gt;1,COUNTIF(ListeFactures,P162)&lt;&gt;1),"Saisie à corriger",IF(AND(I162="Réalisé",OR(H162&lt;=0,B162&gt;Parametres!$B$7)),"Réalisation à vérifier",IF(AND(P162="Émise",OR(Q162="",I162&lt;&gt;"Réalisé")),"Facture à corriger",IF(AND(Q162&lt;&gt;"",COUNTIF($Q$2:$Q$301,Q162)&gt;1),"DOUBLON FACTURE",IF(AND(I162="Réalisé",ABS(G162-H162)&gt;0.001,T162=""),"Écart heures","OK")))))))))</f>
        <v/>
      </c>
      <c r="T162" s="8"/>
    </row>
    <row r="163" spans="1:20" ht="22" customHeight="1">
      <c r="A163" s="8"/>
      <c r="B163" s="6"/>
      <c r="C163" s="8"/>
      <c r="D163" s="9">
        <f>IF(C163="","",IFERROR(VLOOKUP(C163,Clients!$A$2:$M$51,12,FALSE),"CLIENT INCONNU"))</f>
        <v/>
      </c>
      <c r="E163" s="8"/>
      <c r="F163" s="9">
        <f>IF(E163="","",IFERROR(VLOOKUP(E163,Services!$A$2:$D$4,2,FALSE),"SERVICE INCONNU"))</f>
        <v/>
      </c>
      <c r="G163" s="8"/>
      <c r="H163" s="8"/>
      <c r="I163" s="8"/>
      <c r="J163" s="11">
        <f>IF(E163="","",IFERROR(VLOOKUP(E163,Services!$A$2:$D$4,3,FALSE),0))</f>
        <v/>
      </c>
      <c r="K163" s="9">
        <f>IF(C163="","",IFERROR(VLOOKUP(C163,Clients!$A$2:$M$51,11,FALSE),"Non"))</f>
        <v/>
      </c>
      <c r="L163" s="12">
        <f>IF(A163="","",IF(I163&lt;&gt;"Réalisé",0,IF(E163&lt;&gt;"Sexologie",0,IF(K163&lt;&gt;"Oui",0,IF(AND(B163&gt;=Parametres!$B$2,B163&lt;=Parametres!$B$3),Parametres!$B$5,0)))))</f>
        <v/>
      </c>
      <c r="M163" s="11">
        <f>IF(A163="","",IF(I163="Réalisé",ROUND(H163*J163,2),0))</f>
        <v/>
      </c>
      <c r="N163" s="11">
        <f>IF(A163="","",ROUND(M163*L163,2))</f>
        <v/>
      </c>
      <c r="O163" s="11">
        <f>IF(A163="","",ROUND(M163-N163,2))</f>
        <v/>
      </c>
      <c r="P163" s="8"/>
      <c r="Q163" s="8"/>
      <c r="R163" s="13">
        <f>IF(A163="","",IF(I163="Réalisé",H163,0))</f>
        <v/>
      </c>
      <c r="S163" s="9">
        <f>IF(A163="","",IF(COUNTIF($A$2:$A$301,A163)&gt;1,"DOUBLON RDV",IF(COUNTIF(Clients!$A$2:$A$51,C163)&lt;&gt;1,"Client à corriger",IF(COUNTIF(Services!$A$2:$A$4,E163)&lt;&gt;1,"Service à corriger",IF(OR(NOT(ISNUMBER(B163)),G163&lt;=0,H163&lt;0,COUNTIF(ListeStatuts,I163)&lt;&gt;1,COUNTIF(ListeFactures,P163)&lt;&gt;1),"Saisie à corriger",IF(AND(I163="Réalisé",OR(H163&lt;=0,B163&gt;Parametres!$B$7)),"Réalisation à vérifier",IF(AND(P163="Émise",OR(Q163="",I163&lt;&gt;"Réalisé")),"Facture à corriger",IF(AND(Q163&lt;&gt;"",COUNTIF($Q$2:$Q$301,Q163)&gt;1),"DOUBLON FACTURE",IF(AND(I163="Réalisé",ABS(G163-H163)&gt;0.001,T163=""),"Écart heures","OK")))))))))</f>
        <v/>
      </c>
      <c r="T163" s="8"/>
    </row>
    <row r="164" spans="1:20" ht="22" customHeight="1">
      <c r="A164" s="8"/>
      <c r="B164" s="6"/>
      <c r="C164" s="8"/>
      <c r="D164" s="9">
        <f>IF(C164="","",IFERROR(VLOOKUP(C164,Clients!$A$2:$M$51,12,FALSE),"CLIENT INCONNU"))</f>
        <v/>
      </c>
      <c r="E164" s="8"/>
      <c r="F164" s="9">
        <f>IF(E164="","",IFERROR(VLOOKUP(E164,Services!$A$2:$D$4,2,FALSE),"SERVICE INCONNU"))</f>
        <v/>
      </c>
      <c r="G164" s="8"/>
      <c r="H164" s="8"/>
      <c r="I164" s="8"/>
      <c r="J164" s="11">
        <f>IF(E164="","",IFERROR(VLOOKUP(E164,Services!$A$2:$D$4,3,FALSE),0))</f>
        <v/>
      </c>
      <c r="K164" s="9">
        <f>IF(C164="","",IFERROR(VLOOKUP(C164,Clients!$A$2:$M$51,11,FALSE),"Non"))</f>
        <v/>
      </c>
      <c r="L164" s="12">
        <f>IF(A164="","",IF(I164&lt;&gt;"Réalisé",0,IF(E164&lt;&gt;"Sexologie",0,IF(K164&lt;&gt;"Oui",0,IF(AND(B164&gt;=Parametres!$B$2,B164&lt;=Parametres!$B$3),Parametres!$B$5,0)))))</f>
        <v/>
      </c>
      <c r="M164" s="11">
        <f>IF(A164="","",IF(I164="Réalisé",ROUND(H164*J164,2),0))</f>
        <v/>
      </c>
      <c r="N164" s="11">
        <f>IF(A164="","",ROUND(M164*L164,2))</f>
        <v/>
      </c>
      <c r="O164" s="11">
        <f>IF(A164="","",ROUND(M164-N164,2))</f>
        <v/>
      </c>
      <c r="P164" s="8"/>
      <c r="Q164" s="8"/>
      <c r="R164" s="13">
        <f>IF(A164="","",IF(I164="Réalisé",H164,0))</f>
        <v/>
      </c>
      <c r="S164" s="9">
        <f>IF(A164="","",IF(COUNTIF($A$2:$A$301,A164)&gt;1,"DOUBLON RDV",IF(COUNTIF(Clients!$A$2:$A$51,C164)&lt;&gt;1,"Client à corriger",IF(COUNTIF(Services!$A$2:$A$4,E164)&lt;&gt;1,"Service à corriger",IF(OR(NOT(ISNUMBER(B164)),G164&lt;=0,H164&lt;0,COUNTIF(ListeStatuts,I164)&lt;&gt;1,COUNTIF(ListeFactures,P164)&lt;&gt;1),"Saisie à corriger",IF(AND(I164="Réalisé",OR(H164&lt;=0,B164&gt;Parametres!$B$7)),"Réalisation à vérifier",IF(AND(P164="Émise",OR(Q164="",I164&lt;&gt;"Réalisé")),"Facture à corriger",IF(AND(Q164&lt;&gt;"",COUNTIF($Q$2:$Q$301,Q164)&gt;1),"DOUBLON FACTURE",IF(AND(I164="Réalisé",ABS(G164-H164)&gt;0.001,T164=""),"Écart heures","OK")))))))))</f>
        <v/>
      </c>
      <c r="T164" s="8"/>
    </row>
    <row r="165" spans="1:20" ht="22" customHeight="1">
      <c r="A165" s="8"/>
      <c r="B165" s="6"/>
      <c r="C165" s="8"/>
      <c r="D165" s="9">
        <f>IF(C165="","",IFERROR(VLOOKUP(C165,Clients!$A$2:$M$51,12,FALSE),"CLIENT INCONNU"))</f>
        <v/>
      </c>
      <c r="E165" s="8"/>
      <c r="F165" s="9">
        <f>IF(E165="","",IFERROR(VLOOKUP(E165,Services!$A$2:$D$4,2,FALSE),"SERVICE INCONNU"))</f>
        <v/>
      </c>
      <c r="G165" s="8"/>
      <c r="H165" s="8"/>
      <c r="I165" s="8"/>
      <c r="J165" s="11">
        <f>IF(E165="","",IFERROR(VLOOKUP(E165,Services!$A$2:$D$4,3,FALSE),0))</f>
        <v/>
      </c>
      <c r="K165" s="9">
        <f>IF(C165="","",IFERROR(VLOOKUP(C165,Clients!$A$2:$M$51,11,FALSE),"Non"))</f>
        <v/>
      </c>
      <c r="L165" s="12">
        <f>IF(A165="","",IF(I165&lt;&gt;"Réalisé",0,IF(E165&lt;&gt;"Sexologie",0,IF(K165&lt;&gt;"Oui",0,IF(AND(B165&gt;=Parametres!$B$2,B165&lt;=Parametres!$B$3),Parametres!$B$5,0)))))</f>
        <v/>
      </c>
      <c r="M165" s="11">
        <f>IF(A165="","",IF(I165="Réalisé",ROUND(H165*J165,2),0))</f>
        <v/>
      </c>
      <c r="N165" s="11">
        <f>IF(A165="","",ROUND(M165*L165,2))</f>
        <v/>
      </c>
      <c r="O165" s="11">
        <f>IF(A165="","",ROUND(M165-N165,2))</f>
        <v/>
      </c>
      <c r="P165" s="8"/>
      <c r="Q165" s="8"/>
      <c r="R165" s="13">
        <f>IF(A165="","",IF(I165="Réalisé",H165,0))</f>
        <v/>
      </c>
      <c r="S165" s="9">
        <f>IF(A165="","",IF(COUNTIF($A$2:$A$301,A165)&gt;1,"DOUBLON RDV",IF(COUNTIF(Clients!$A$2:$A$51,C165)&lt;&gt;1,"Client à corriger",IF(COUNTIF(Services!$A$2:$A$4,E165)&lt;&gt;1,"Service à corriger",IF(OR(NOT(ISNUMBER(B165)),G165&lt;=0,H165&lt;0,COUNTIF(ListeStatuts,I165)&lt;&gt;1,COUNTIF(ListeFactures,P165)&lt;&gt;1),"Saisie à corriger",IF(AND(I165="Réalisé",OR(H165&lt;=0,B165&gt;Parametres!$B$7)),"Réalisation à vérifier",IF(AND(P165="Émise",OR(Q165="",I165&lt;&gt;"Réalisé")),"Facture à corriger",IF(AND(Q165&lt;&gt;"",COUNTIF($Q$2:$Q$301,Q165)&gt;1),"DOUBLON FACTURE",IF(AND(I165="Réalisé",ABS(G165-H165)&gt;0.001,T165=""),"Écart heures","OK")))))))))</f>
        <v/>
      </c>
      <c r="T165" s="8"/>
    </row>
    <row r="166" spans="1:20" ht="22" customHeight="1">
      <c r="A166" s="8"/>
      <c r="B166" s="6"/>
      <c r="C166" s="8"/>
      <c r="D166" s="9">
        <f>IF(C166="","",IFERROR(VLOOKUP(C166,Clients!$A$2:$M$51,12,FALSE),"CLIENT INCONNU"))</f>
        <v/>
      </c>
      <c r="E166" s="8"/>
      <c r="F166" s="9">
        <f>IF(E166="","",IFERROR(VLOOKUP(E166,Services!$A$2:$D$4,2,FALSE),"SERVICE INCONNU"))</f>
        <v/>
      </c>
      <c r="G166" s="8"/>
      <c r="H166" s="8"/>
      <c r="I166" s="8"/>
      <c r="J166" s="11">
        <f>IF(E166="","",IFERROR(VLOOKUP(E166,Services!$A$2:$D$4,3,FALSE),0))</f>
        <v/>
      </c>
      <c r="K166" s="9">
        <f>IF(C166="","",IFERROR(VLOOKUP(C166,Clients!$A$2:$M$51,11,FALSE),"Non"))</f>
        <v/>
      </c>
      <c r="L166" s="12">
        <f>IF(A166="","",IF(I166&lt;&gt;"Réalisé",0,IF(E166&lt;&gt;"Sexologie",0,IF(K166&lt;&gt;"Oui",0,IF(AND(B166&gt;=Parametres!$B$2,B166&lt;=Parametres!$B$3),Parametres!$B$5,0)))))</f>
        <v/>
      </c>
      <c r="M166" s="11">
        <f>IF(A166="","",IF(I166="Réalisé",ROUND(H166*J166,2),0))</f>
        <v/>
      </c>
      <c r="N166" s="11">
        <f>IF(A166="","",ROUND(M166*L166,2))</f>
        <v/>
      </c>
      <c r="O166" s="11">
        <f>IF(A166="","",ROUND(M166-N166,2))</f>
        <v/>
      </c>
      <c r="P166" s="8"/>
      <c r="Q166" s="8"/>
      <c r="R166" s="13">
        <f>IF(A166="","",IF(I166="Réalisé",H166,0))</f>
        <v/>
      </c>
      <c r="S166" s="9">
        <f>IF(A166="","",IF(COUNTIF($A$2:$A$301,A166)&gt;1,"DOUBLON RDV",IF(COUNTIF(Clients!$A$2:$A$51,C166)&lt;&gt;1,"Client à corriger",IF(COUNTIF(Services!$A$2:$A$4,E166)&lt;&gt;1,"Service à corriger",IF(OR(NOT(ISNUMBER(B166)),G166&lt;=0,H166&lt;0,COUNTIF(ListeStatuts,I166)&lt;&gt;1,COUNTIF(ListeFactures,P166)&lt;&gt;1),"Saisie à corriger",IF(AND(I166="Réalisé",OR(H166&lt;=0,B166&gt;Parametres!$B$7)),"Réalisation à vérifier",IF(AND(P166="Émise",OR(Q166="",I166&lt;&gt;"Réalisé")),"Facture à corriger",IF(AND(Q166&lt;&gt;"",COUNTIF($Q$2:$Q$301,Q166)&gt;1),"DOUBLON FACTURE",IF(AND(I166="Réalisé",ABS(G166-H166)&gt;0.001,T166=""),"Écart heures","OK")))))))))</f>
        <v/>
      </c>
      <c r="T166" s="8"/>
    </row>
    <row r="167" spans="1:20" ht="22" customHeight="1">
      <c r="A167" s="8"/>
      <c r="B167" s="6"/>
      <c r="C167" s="8"/>
      <c r="D167" s="9">
        <f>IF(C167="","",IFERROR(VLOOKUP(C167,Clients!$A$2:$M$51,12,FALSE),"CLIENT INCONNU"))</f>
        <v/>
      </c>
      <c r="E167" s="8"/>
      <c r="F167" s="9">
        <f>IF(E167="","",IFERROR(VLOOKUP(E167,Services!$A$2:$D$4,2,FALSE),"SERVICE INCONNU"))</f>
        <v/>
      </c>
      <c r="G167" s="8"/>
      <c r="H167" s="8"/>
      <c r="I167" s="8"/>
      <c r="J167" s="11">
        <f>IF(E167="","",IFERROR(VLOOKUP(E167,Services!$A$2:$D$4,3,FALSE),0))</f>
        <v/>
      </c>
      <c r="K167" s="9">
        <f>IF(C167="","",IFERROR(VLOOKUP(C167,Clients!$A$2:$M$51,11,FALSE),"Non"))</f>
        <v/>
      </c>
      <c r="L167" s="12">
        <f>IF(A167="","",IF(I167&lt;&gt;"Réalisé",0,IF(E167&lt;&gt;"Sexologie",0,IF(K167&lt;&gt;"Oui",0,IF(AND(B167&gt;=Parametres!$B$2,B167&lt;=Parametres!$B$3),Parametres!$B$5,0)))))</f>
        <v/>
      </c>
      <c r="M167" s="11">
        <f>IF(A167="","",IF(I167="Réalisé",ROUND(H167*J167,2),0))</f>
        <v/>
      </c>
      <c r="N167" s="11">
        <f>IF(A167="","",ROUND(M167*L167,2))</f>
        <v/>
      </c>
      <c r="O167" s="11">
        <f>IF(A167="","",ROUND(M167-N167,2))</f>
        <v/>
      </c>
      <c r="P167" s="8"/>
      <c r="Q167" s="8"/>
      <c r="R167" s="13">
        <f>IF(A167="","",IF(I167="Réalisé",H167,0))</f>
        <v/>
      </c>
      <c r="S167" s="9">
        <f>IF(A167="","",IF(COUNTIF($A$2:$A$301,A167)&gt;1,"DOUBLON RDV",IF(COUNTIF(Clients!$A$2:$A$51,C167)&lt;&gt;1,"Client à corriger",IF(COUNTIF(Services!$A$2:$A$4,E167)&lt;&gt;1,"Service à corriger",IF(OR(NOT(ISNUMBER(B167)),G167&lt;=0,H167&lt;0,COUNTIF(ListeStatuts,I167)&lt;&gt;1,COUNTIF(ListeFactures,P167)&lt;&gt;1),"Saisie à corriger",IF(AND(I167="Réalisé",OR(H167&lt;=0,B167&gt;Parametres!$B$7)),"Réalisation à vérifier",IF(AND(P167="Émise",OR(Q167="",I167&lt;&gt;"Réalisé")),"Facture à corriger",IF(AND(Q167&lt;&gt;"",COUNTIF($Q$2:$Q$301,Q167)&gt;1),"DOUBLON FACTURE",IF(AND(I167="Réalisé",ABS(G167-H167)&gt;0.001,T167=""),"Écart heures","OK")))))))))</f>
        <v/>
      </c>
      <c r="T167" s="8"/>
    </row>
    <row r="168" spans="1:20" ht="22" customHeight="1">
      <c r="A168" s="8"/>
      <c r="B168" s="6"/>
      <c r="C168" s="8"/>
      <c r="D168" s="9">
        <f>IF(C168="","",IFERROR(VLOOKUP(C168,Clients!$A$2:$M$51,12,FALSE),"CLIENT INCONNU"))</f>
        <v/>
      </c>
      <c r="E168" s="8"/>
      <c r="F168" s="9">
        <f>IF(E168="","",IFERROR(VLOOKUP(E168,Services!$A$2:$D$4,2,FALSE),"SERVICE INCONNU"))</f>
        <v/>
      </c>
      <c r="G168" s="8"/>
      <c r="H168" s="8"/>
      <c r="I168" s="8"/>
      <c r="J168" s="11">
        <f>IF(E168="","",IFERROR(VLOOKUP(E168,Services!$A$2:$D$4,3,FALSE),0))</f>
        <v/>
      </c>
      <c r="K168" s="9">
        <f>IF(C168="","",IFERROR(VLOOKUP(C168,Clients!$A$2:$M$51,11,FALSE),"Non"))</f>
        <v/>
      </c>
      <c r="L168" s="12">
        <f>IF(A168="","",IF(I168&lt;&gt;"Réalisé",0,IF(E168&lt;&gt;"Sexologie",0,IF(K168&lt;&gt;"Oui",0,IF(AND(B168&gt;=Parametres!$B$2,B168&lt;=Parametres!$B$3),Parametres!$B$5,0)))))</f>
        <v/>
      </c>
      <c r="M168" s="11">
        <f>IF(A168="","",IF(I168="Réalisé",ROUND(H168*J168,2),0))</f>
        <v/>
      </c>
      <c r="N168" s="11">
        <f>IF(A168="","",ROUND(M168*L168,2))</f>
        <v/>
      </c>
      <c r="O168" s="11">
        <f>IF(A168="","",ROUND(M168-N168,2))</f>
        <v/>
      </c>
      <c r="P168" s="8"/>
      <c r="Q168" s="8"/>
      <c r="R168" s="13">
        <f>IF(A168="","",IF(I168="Réalisé",H168,0))</f>
        <v/>
      </c>
      <c r="S168" s="9">
        <f>IF(A168="","",IF(COUNTIF($A$2:$A$301,A168)&gt;1,"DOUBLON RDV",IF(COUNTIF(Clients!$A$2:$A$51,C168)&lt;&gt;1,"Client à corriger",IF(COUNTIF(Services!$A$2:$A$4,E168)&lt;&gt;1,"Service à corriger",IF(OR(NOT(ISNUMBER(B168)),G168&lt;=0,H168&lt;0,COUNTIF(ListeStatuts,I168)&lt;&gt;1,COUNTIF(ListeFactures,P168)&lt;&gt;1),"Saisie à corriger",IF(AND(I168="Réalisé",OR(H168&lt;=0,B168&gt;Parametres!$B$7)),"Réalisation à vérifier",IF(AND(P168="Émise",OR(Q168="",I168&lt;&gt;"Réalisé")),"Facture à corriger",IF(AND(Q168&lt;&gt;"",COUNTIF($Q$2:$Q$301,Q168)&gt;1),"DOUBLON FACTURE",IF(AND(I168="Réalisé",ABS(G168-H168)&gt;0.001,T168=""),"Écart heures","OK")))))))))</f>
        <v/>
      </c>
      <c r="T168" s="8"/>
    </row>
    <row r="169" spans="1:20" ht="22" customHeight="1">
      <c r="A169" s="8"/>
      <c r="B169" s="6"/>
      <c r="C169" s="8"/>
      <c r="D169" s="9">
        <f>IF(C169="","",IFERROR(VLOOKUP(C169,Clients!$A$2:$M$51,12,FALSE),"CLIENT INCONNU"))</f>
        <v/>
      </c>
      <c r="E169" s="8"/>
      <c r="F169" s="9">
        <f>IF(E169="","",IFERROR(VLOOKUP(E169,Services!$A$2:$D$4,2,FALSE),"SERVICE INCONNU"))</f>
        <v/>
      </c>
      <c r="G169" s="8"/>
      <c r="H169" s="8"/>
      <c r="I169" s="8"/>
      <c r="J169" s="11">
        <f>IF(E169="","",IFERROR(VLOOKUP(E169,Services!$A$2:$D$4,3,FALSE),0))</f>
        <v/>
      </c>
      <c r="K169" s="9">
        <f>IF(C169="","",IFERROR(VLOOKUP(C169,Clients!$A$2:$M$51,11,FALSE),"Non"))</f>
        <v/>
      </c>
      <c r="L169" s="12">
        <f>IF(A169="","",IF(I169&lt;&gt;"Réalisé",0,IF(E169&lt;&gt;"Sexologie",0,IF(K169&lt;&gt;"Oui",0,IF(AND(B169&gt;=Parametres!$B$2,B169&lt;=Parametres!$B$3),Parametres!$B$5,0)))))</f>
        <v/>
      </c>
      <c r="M169" s="11">
        <f>IF(A169="","",IF(I169="Réalisé",ROUND(H169*J169,2),0))</f>
        <v/>
      </c>
      <c r="N169" s="11">
        <f>IF(A169="","",ROUND(M169*L169,2))</f>
        <v/>
      </c>
      <c r="O169" s="11">
        <f>IF(A169="","",ROUND(M169-N169,2))</f>
        <v/>
      </c>
      <c r="P169" s="8"/>
      <c r="Q169" s="8"/>
      <c r="R169" s="13">
        <f>IF(A169="","",IF(I169="Réalisé",H169,0))</f>
        <v/>
      </c>
      <c r="S169" s="9">
        <f>IF(A169="","",IF(COUNTIF($A$2:$A$301,A169)&gt;1,"DOUBLON RDV",IF(COUNTIF(Clients!$A$2:$A$51,C169)&lt;&gt;1,"Client à corriger",IF(COUNTIF(Services!$A$2:$A$4,E169)&lt;&gt;1,"Service à corriger",IF(OR(NOT(ISNUMBER(B169)),G169&lt;=0,H169&lt;0,COUNTIF(ListeStatuts,I169)&lt;&gt;1,COUNTIF(ListeFactures,P169)&lt;&gt;1),"Saisie à corriger",IF(AND(I169="Réalisé",OR(H169&lt;=0,B169&gt;Parametres!$B$7)),"Réalisation à vérifier",IF(AND(P169="Émise",OR(Q169="",I169&lt;&gt;"Réalisé")),"Facture à corriger",IF(AND(Q169&lt;&gt;"",COUNTIF($Q$2:$Q$301,Q169)&gt;1),"DOUBLON FACTURE",IF(AND(I169="Réalisé",ABS(G169-H169)&gt;0.001,T169=""),"Écart heures","OK")))))))))</f>
        <v/>
      </c>
      <c r="T169" s="8"/>
    </row>
    <row r="170" spans="1:20" ht="22" customHeight="1">
      <c r="A170" s="8"/>
      <c r="B170" s="6"/>
      <c r="C170" s="8"/>
      <c r="D170" s="9">
        <f>IF(C170="","",IFERROR(VLOOKUP(C170,Clients!$A$2:$M$51,12,FALSE),"CLIENT INCONNU"))</f>
        <v/>
      </c>
      <c r="E170" s="8"/>
      <c r="F170" s="9">
        <f>IF(E170="","",IFERROR(VLOOKUP(E170,Services!$A$2:$D$4,2,FALSE),"SERVICE INCONNU"))</f>
        <v/>
      </c>
      <c r="G170" s="8"/>
      <c r="H170" s="8"/>
      <c r="I170" s="8"/>
      <c r="J170" s="11">
        <f>IF(E170="","",IFERROR(VLOOKUP(E170,Services!$A$2:$D$4,3,FALSE),0))</f>
        <v/>
      </c>
      <c r="K170" s="9">
        <f>IF(C170="","",IFERROR(VLOOKUP(C170,Clients!$A$2:$M$51,11,FALSE),"Non"))</f>
        <v/>
      </c>
      <c r="L170" s="12">
        <f>IF(A170="","",IF(I170&lt;&gt;"Réalisé",0,IF(E170&lt;&gt;"Sexologie",0,IF(K170&lt;&gt;"Oui",0,IF(AND(B170&gt;=Parametres!$B$2,B170&lt;=Parametres!$B$3),Parametres!$B$5,0)))))</f>
        <v/>
      </c>
      <c r="M170" s="11">
        <f>IF(A170="","",IF(I170="Réalisé",ROUND(H170*J170,2),0))</f>
        <v/>
      </c>
      <c r="N170" s="11">
        <f>IF(A170="","",ROUND(M170*L170,2))</f>
        <v/>
      </c>
      <c r="O170" s="11">
        <f>IF(A170="","",ROUND(M170-N170,2))</f>
        <v/>
      </c>
      <c r="P170" s="8"/>
      <c r="Q170" s="8"/>
      <c r="R170" s="13">
        <f>IF(A170="","",IF(I170="Réalisé",H170,0))</f>
        <v/>
      </c>
      <c r="S170" s="9">
        <f>IF(A170="","",IF(COUNTIF($A$2:$A$301,A170)&gt;1,"DOUBLON RDV",IF(COUNTIF(Clients!$A$2:$A$51,C170)&lt;&gt;1,"Client à corriger",IF(COUNTIF(Services!$A$2:$A$4,E170)&lt;&gt;1,"Service à corriger",IF(OR(NOT(ISNUMBER(B170)),G170&lt;=0,H170&lt;0,COUNTIF(ListeStatuts,I170)&lt;&gt;1,COUNTIF(ListeFactures,P170)&lt;&gt;1),"Saisie à corriger",IF(AND(I170="Réalisé",OR(H170&lt;=0,B170&gt;Parametres!$B$7)),"Réalisation à vérifier",IF(AND(P170="Émise",OR(Q170="",I170&lt;&gt;"Réalisé")),"Facture à corriger",IF(AND(Q170&lt;&gt;"",COUNTIF($Q$2:$Q$301,Q170)&gt;1),"DOUBLON FACTURE",IF(AND(I170="Réalisé",ABS(G170-H170)&gt;0.001,T170=""),"Écart heures","OK")))))))))</f>
        <v/>
      </c>
      <c r="T170" s="8"/>
    </row>
    <row r="171" spans="1:20" ht="22" customHeight="1">
      <c r="A171" s="8"/>
      <c r="B171" s="6"/>
      <c r="C171" s="8"/>
      <c r="D171" s="9">
        <f>IF(C171="","",IFERROR(VLOOKUP(C171,Clients!$A$2:$M$51,12,FALSE),"CLIENT INCONNU"))</f>
        <v/>
      </c>
      <c r="E171" s="8"/>
      <c r="F171" s="9">
        <f>IF(E171="","",IFERROR(VLOOKUP(E171,Services!$A$2:$D$4,2,FALSE),"SERVICE INCONNU"))</f>
        <v/>
      </c>
      <c r="G171" s="8"/>
      <c r="H171" s="8"/>
      <c r="I171" s="8"/>
      <c r="J171" s="11">
        <f>IF(E171="","",IFERROR(VLOOKUP(E171,Services!$A$2:$D$4,3,FALSE),0))</f>
        <v/>
      </c>
      <c r="K171" s="9">
        <f>IF(C171="","",IFERROR(VLOOKUP(C171,Clients!$A$2:$M$51,11,FALSE),"Non"))</f>
        <v/>
      </c>
      <c r="L171" s="12">
        <f>IF(A171="","",IF(I171&lt;&gt;"Réalisé",0,IF(E171&lt;&gt;"Sexologie",0,IF(K171&lt;&gt;"Oui",0,IF(AND(B171&gt;=Parametres!$B$2,B171&lt;=Parametres!$B$3),Parametres!$B$5,0)))))</f>
        <v/>
      </c>
      <c r="M171" s="11">
        <f>IF(A171="","",IF(I171="Réalisé",ROUND(H171*J171,2),0))</f>
        <v/>
      </c>
      <c r="N171" s="11">
        <f>IF(A171="","",ROUND(M171*L171,2))</f>
        <v/>
      </c>
      <c r="O171" s="11">
        <f>IF(A171="","",ROUND(M171-N171,2))</f>
        <v/>
      </c>
      <c r="P171" s="8"/>
      <c r="Q171" s="8"/>
      <c r="R171" s="13">
        <f>IF(A171="","",IF(I171="Réalisé",H171,0))</f>
        <v/>
      </c>
      <c r="S171" s="9">
        <f>IF(A171="","",IF(COUNTIF($A$2:$A$301,A171)&gt;1,"DOUBLON RDV",IF(COUNTIF(Clients!$A$2:$A$51,C171)&lt;&gt;1,"Client à corriger",IF(COUNTIF(Services!$A$2:$A$4,E171)&lt;&gt;1,"Service à corriger",IF(OR(NOT(ISNUMBER(B171)),G171&lt;=0,H171&lt;0,COUNTIF(ListeStatuts,I171)&lt;&gt;1,COUNTIF(ListeFactures,P171)&lt;&gt;1),"Saisie à corriger",IF(AND(I171="Réalisé",OR(H171&lt;=0,B171&gt;Parametres!$B$7)),"Réalisation à vérifier",IF(AND(P171="Émise",OR(Q171="",I171&lt;&gt;"Réalisé")),"Facture à corriger",IF(AND(Q171&lt;&gt;"",COUNTIF($Q$2:$Q$301,Q171)&gt;1),"DOUBLON FACTURE",IF(AND(I171="Réalisé",ABS(G171-H171)&gt;0.001,T171=""),"Écart heures","OK")))))))))</f>
        <v/>
      </c>
      <c r="T171" s="8"/>
    </row>
    <row r="172" spans="1:20" ht="22" customHeight="1">
      <c r="A172" s="8"/>
      <c r="B172" s="6"/>
      <c r="C172" s="8"/>
      <c r="D172" s="9">
        <f>IF(C172="","",IFERROR(VLOOKUP(C172,Clients!$A$2:$M$51,12,FALSE),"CLIENT INCONNU"))</f>
        <v/>
      </c>
      <c r="E172" s="8"/>
      <c r="F172" s="9">
        <f>IF(E172="","",IFERROR(VLOOKUP(E172,Services!$A$2:$D$4,2,FALSE),"SERVICE INCONNU"))</f>
        <v/>
      </c>
      <c r="G172" s="8"/>
      <c r="H172" s="8"/>
      <c r="I172" s="8"/>
      <c r="J172" s="11">
        <f>IF(E172="","",IFERROR(VLOOKUP(E172,Services!$A$2:$D$4,3,FALSE),0))</f>
        <v/>
      </c>
      <c r="K172" s="9">
        <f>IF(C172="","",IFERROR(VLOOKUP(C172,Clients!$A$2:$M$51,11,FALSE),"Non"))</f>
        <v/>
      </c>
      <c r="L172" s="12">
        <f>IF(A172="","",IF(I172&lt;&gt;"Réalisé",0,IF(E172&lt;&gt;"Sexologie",0,IF(K172&lt;&gt;"Oui",0,IF(AND(B172&gt;=Parametres!$B$2,B172&lt;=Parametres!$B$3),Parametres!$B$5,0)))))</f>
        <v/>
      </c>
      <c r="M172" s="11">
        <f>IF(A172="","",IF(I172="Réalisé",ROUND(H172*J172,2),0))</f>
        <v/>
      </c>
      <c r="N172" s="11">
        <f>IF(A172="","",ROUND(M172*L172,2))</f>
        <v/>
      </c>
      <c r="O172" s="11">
        <f>IF(A172="","",ROUND(M172-N172,2))</f>
        <v/>
      </c>
      <c r="P172" s="8"/>
      <c r="Q172" s="8"/>
      <c r="R172" s="13">
        <f>IF(A172="","",IF(I172="Réalisé",H172,0))</f>
        <v/>
      </c>
      <c r="S172" s="9">
        <f>IF(A172="","",IF(COUNTIF($A$2:$A$301,A172)&gt;1,"DOUBLON RDV",IF(COUNTIF(Clients!$A$2:$A$51,C172)&lt;&gt;1,"Client à corriger",IF(COUNTIF(Services!$A$2:$A$4,E172)&lt;&gt;1,"Service à corriger",IF(OR(NOT(ISNUMBER(B172)),G172&lt;=0,H172&lt;0,COUNTIF(ListeStatuts,I172)&lt;&gt;1,COUNTIF(ListeFactures,P172)&lt;&gt;1),"Saisie à corriger",IF(AND(I172="Réalisé",OR(H172&lt;=0,B172&gt;Parametres!$B$7)),"Réalisation à vérifier",IF(AND(P172="Émise",OR(Q172="",I172&lt;&gt;"Réalisé")),"Facture à corriger",IF(AND(Q172&lt;&gt;"",COUNTIF($Q$2:$Q$301,Q172)&gt;1),"DOUBLON FACTURE",IF(AND(I172="Réalisé",ABS(G172-H172)&gt;0.001,T172=""),"Écart heures","OK")))))))))</f>
        <v/>
      </c>
      <c r="T172" s="8"/>
    </row>
    <row r="173" spans="1:20" ht="22" customHeight="1">
      <c r="A173" s="8"/>
      <c r="B173" s="6"/>
      <c r="C173" s="8"/>
      <c r="D173" s="9">
        <f>IF(C173="","",IFERROR(VLOOKUP(C173,Clients!$A$2:$M$51,12,FALSE),"CLIENT INCONNU"))</f>
        <v/>
      </c>
      <c r="E173" s="8"/>
      <c r="F173" s="9">
        <f>IF(E173="","",IFERROR(VLOOKUP(E173,Services!$A$2:$D$4,2,FALSE),"SERVICE INCONNU"))</f>
        <v/>
      </c>
      <c r="G173" s="8"/>
      <c r="H173" s="8"/>
      <c r="I173" s="8"/>
      <c r="J173" s="11">
        <f>IF(E173="","",IFERROR(VLOOKUP(E173,Services!$A$2:$D$4,3,FALSE),0))</f>
        <v/>
      </c>
      <c r="K173" s="9">
        <f>IF(C173="","",IFERROR(VLOOKUP(C173,Clients!$A$2:$M$51,11,FALSE),"Non"))</f>
        <v/>
      </c>
      <c r="L173" s="12">
        <f>IF(A173="","",IF(I173&lt;&gt;"Réalisé",0,IF(E173&lt;&gt;"Sexologie",0,IF(K173&lt;&gt;"Oui",0,IF(AND(B173&gt;=Parametres!$B$2,B173&lt;=Parametres!$B$3),Parametres!$B$5,0)))))</f>
        <v/>
      </c>
      <c r="M173" s="11">
        <f>IF(A173="","",IF(I173="Réalisé",ROUND(H173*J173,2),0))</f>
        <v/>
      </c>
      <c r="N173" s="11">
        <f>IF(A173="","",ROUND(M173*L173,2))</f>
        <v/>
      </c>
      <c r="O173" s="11">
        <f>IF(A173="","",ROUND(M173-N173,2))</f>
        <v/>
      </c>
      <c r="P173" s="8"/>
      <c r="Q173" s="8"/>
      <c r="R173" s="13">
        <f>IF(A173="","",IF(I173="Réalisé",H173,0))</f>
        <v/>
      </c>
      <c r="S173" s="9">
        <f>IF(A173="","",IF(COUNTIF($A$2:$A$301,A173)&gt;1,"DOUBLON RDV",IF(COUNTIF(Clients!$A$2:$A$51,C173)&lt;&gt;1,"Client à corriger",IF(COUNTIF(Services!$A$2:$A$4,E173)&lt;&gt;1,"Service à corriger",IF(OR(NOT(ISNUMBER(B173)),G173&lt;=0,H173&lt;0,COUNTIF(ListeStatuts,I173)&lt;&gt;1,COUNTIF(ListeFactures,P173)&lt;&gt;1),"Saisie à corriger",IF(AND(I173="Réalisé",OR(H173&lt;=0,B173&gt;Parametres!$B$7)),"Réalisation à vérifier",IF(AND(P173="Émise",OR(Q173="",I173&lt;&gt;"Réalisé")),"Facture à corriger",IF(AND(Q173&lt;&gt;"",COUNTIF($Q$2:$Q$301,Q173)&gt;1),"DOUBLON FACTURE",IF(AND(I173="Réalisé",ABS(G173-H173)&gt;0.001,T173=""),"Écart heures","OK")))))))))</f>
        <v/>
      </c>
      <c r="T173" s="8"/>
    </row>
    <row r="174" spans="1:20" ht="22" customHeight="1">
      <c r="A174" s="8"/>
      <c r="B174" s="6"/>
      <c r="C174" s="8"/>
      <c r="D174" s="9">
        <f>IF(C174="","",IFERROR(VLOOKUP(C174,Clients!$A$2:$M$51,12,FALSE),"CLIENT INCONNU"))</f>
        <v/>
      </c>
      <c r="E174" s="8"/>
      <c r="F174" s="9">
        <f>IF(E174="","",IFERROR(VLOOKUP(E174,Services!$A$2:$D$4,2,FALSE),"SERVICE INCONNU"))</f>
        <v/>
      </c>
      <c r="G174" s="8"/>
      <c r="H174" s="8"/>
      <c r="I174" s="8"/>
      <c r="J174" s="11">
        <f>IF(E174="","",IFERROR(VLOOKUP(E174,Services!$A$2:$D$4,3,FALSE),0))</f>
        <v/>
      </c>
      <c r="K174" s="9">
        <f>IF(C174="","",IFERROR(VLOOKUP(C174,Clients!$A$2:$M$51,11,FALSE),"Non"))</f>
        <v/>
      </c>
      <c r="L174" s="12">
        <f>IF(A174="","",IF(I174&lt;&gt;"Réalisé",0,IF(E174&lt;&gt;"Sexologie",0,IF(K174&lt;&gt;"Oui",0,IF(AND(B174&gt;=Parametres!$B$2,B174&lt;=Parametres!$B$3),Parametres!$B$5,0)))))</f>
        <v/>
      </c>
      <c r="M174" s="11">
        <f>IF(A174="","",IF(I174="Réalisé",ROUND(H174*J174,2),0))</f>
        <v/>
      </c>
      <c r="N174" s="11">
        <f>IF(A174="","",ROUND(M174*L174,2))</f>
        <v/>
      </c>
      <c r="O174" s="11">
        <f>IF(A174="","",ROUND(M174-N174,2))</f>
        <v/>
      </c>
      <c r="P174" s="8"/>
      <c r="Q174" s="8"/>
      <c r="R174" s="13">
        <f>IF(A174="","",IF(I174="Réalisé",H174,0))</f>
        <v/>
      </c>
      <c r="S174" s="9">
        <f>IF(A174="","",IF(COUNTIF($A$2:$A$301,A174)&gt;1,"DOUBLON RDV",IF(COUNTIF(Clients!$A$2:$A$51,C174)&lt;&gt;1,"Client à corriger",IF(COUNTIF(Services!$A$2:$A$4,E174)&lt;&gt;1,"Service à corriger",IF(OR(NOT(ISNUMBER(B174)),G174&lt;=0,H174&lt;0,COUNTIF(ListeStatuts,I174)&lt;&gt;1,COUNTIF(ListeFactures,P174)&lt;&gt;1),"Saisie à corriger",IF(AND(I174="Réalisé",OR(H174&lt;=0,B174&gt;Parametres!$B$7)),"Réalisation à vérifier",IF(AND(P174="Émise",OR(Q174="",I174&lt;&gt;"Réalisé")),"Facture à corriger",IF(AND(Q174&lt;&gt;"",COUNTIF($Q$2:$Q$301,Q174)&gt;1),"DOUBLON FACTURE",IF(AND(I174="Réalisé",ABS(G174-H174)&gt;0.001,T174=""),"Écart heures","OK")))))))))</f>
        <v/>
      </c>
      <c r="T174" s="8"/>
    </row>
    <row r="175" spans="1:20" ht="22" customHeight="1">
      <c r="A175" s="8"/>
      <c r="B175" s="6"/>
      <c r="C175" s="8"/>
      <c r="D175" s="9">
        <f>IF(C175="","",IFERROR(VLOOKUP(C175,Clients!$A$2:$M$51,12,FALSE),"CLIENT INCONNU"))</f>
        <v/>
      </c>
      <c r="E175" s="8"/>
      <c r="F175" s="9">
        <f>IF(E175="","",IFERROR(VLOOKUP(E175,Services!$A$2:$D$4,2,FALSE),"SERVICE INCONNU"))</f>
        <v/>
      </c>
      <c r="G175" s="8"/>
      <c r="H175" s="8"/>
      <c r="I175" s="8"/>
      <c r="J175" s="11">
        <f>IF(E175="","",IFERROR(VLOOKUP(E175,Services!$A$2:$D$4,3,FALSE),0))</f>
        <v/>
      </c>
      <c r="K175" s="9">
        <f>IF(C175="","",IFERROR(VLOOKUP(C175,Clients!$A$2:$M$51,11,FALSE),"Non"))</f>
        <v/>
      </c>
      <c r="L175" s="12">
        <f>IF(A175="","",IF(I175&lt;&gt;"Réalisé",0,IF(E175&lt;&gt;"Sexologie",0,IF(K175&lt;&gt;"Oui",0,IF(AND(B175&gt;=Parametres!$B$2,B175&lt;=Parametres!$B$3),Parametres!$B$5,0)))))</f>
        <v/>
      </c>
      <c r="M175" s="11">
        <f>IF(A175="","",IF(I175="Réalisé",ROUND(H175*J175,2),0))</f>
        <v/>
      </c>
      <c r="N175" s="11">
        <f>IF(A175="","",ROUND(M175*L175,2))</f>
        <v/>
      </c>
      <c r="O175" s="11">
        <f>IF(A175="","",ROUND(M175-N175,2))</f>
        <v/>
      </c>
      <c r="P175" s="8"/>
      <c r="Q175" s="8"/>
      <c r="R175" s="13">
        <f>IF(A175="","",IF(I175="Réalisé",H175,0))</f>
        <v/>
      </c>
      <c r="S175" s="9">
        <f>IF(A175="","",IF(COUNTIF($A$2:$A$301,A175)&gt;1,"DOUBLON RDV",IF(COUNTIF(Clients!$A$2:$A$51,C175)&lt;&gt;1,"Client à corriger",IF(COUNTIF(Services!$A$2:$A$4,E175)&lt;&gt;1,"Service à corriger",IF(OR(NOT(ISNUMBER(B175)),G175&lt;=0,H175&lt;0,COUNTIF(ListeStatuts,I175)&lt;&gt;1,COUNTIF(ListeFactures,P175)&lt;&gt;1),"Saisie à corriger",IF(AND(I175="Réalisé",OR(H175&lt;=0,B175&gt;Parametres!$B$7)),"Réalisation à vérifier",IF(AND(P175="Émise",OR(Q175="",I175&lt;&gt;"Réalisé")),"Facture à corriger",IF(AND(Q175&lt;&gt;"",COUNTIF($Q$2:$Q$301,Q175)&gt;1),"DOUBLON FACTURE",IF(AND(I175="Réalisé",ABS(G175-H175)&gt;0.001,T175=""),"Écart heures","OK")))))))))</f>
        <v/>
      </c>
      <c r="T175" s="8"/>
    </row>
    <row r="176" spans="1:20" ht="22" customHeight="1">
      <c r="A176" s="8"/>
      <c r="B176" s="6"/>
      <c r="C176" s="8"/>
      <c r="D176" s="9">
        <f>IF(C176="","",IFERROR(VLOOKUP(C176,Clients!$A$2:$M$51,12,FALSE),"CLIENT INCONNU"))</f>
        <v/>
      </c>
      <c r="E176" s="8"/>
      <c r="F176" s="9">
        <f>IF(E176="","",IFERROR(VLOOKUP(E176,Services!$A$2:$D$4,2,FALSE),"SERVICE INCONNU"))</f>
        <v/>
      </c>
      <c r="G176" s="8"/>
      <c r="H176" s="8"/>
      <c r="I176" s="8"/>
      <c r="J176" s="11">
        <f>IF(E176="","",IFERROR(VLOOKUP(E176,Services!$A$2:$D$4,3,FALSE),0))</f>
        <v/>
      </c>
      <c r="K176" s="9">
        <f>IF(C176="","",IFERROR(VLOOKUP(C176,Clients!$A$2:$M$51,11,FALSE),"Non"))</f>
        <v/>
      </c>
      <c r="L176" s="12">
        <f>IF(A176="","",IF(I176&lt;&gt;"Réalisé",0,IF(E176&lt;&gt;"Sexologie",0,IF(K176&lt;&gt;"Oui",0,IF(AND(B176&gt;=Parametres!$B$2,B176&lt;=Parametres!$B$3),Parametres!$B$5,0)))))</f>
        <v/>
      </c>
      <c r="M176" s="11">
        <f>IF(A176="","",IF(I176="Réalisé",ROUND(H176*J176,2),0))</f>
        <v/>
      </c>
      <c r="N176" s="11">
        <f>IF(A176="","",ROUND(M176*L176,2))</f>
        <v/>
      </c>
      <c r="O176" s="11">
        <f>IF(A176="","",ROUND(M176-N176,2))</f>
        <v/>
      </c>
      <c r="P176" s="8"/>
      <c r="Q176" s="8"/>
      <c r="R176" s="13">
        <f>IF(A176="","",IF(I176="Réalisé",H176,0))</f>
        <v/>
      </c>
      <c r="S176" s="9">
        <f>IF(A176="","",IF(COUNTIF($A$2:$A$301,A176)&gt;1,"DOUBLON RDV",IF(COUNTIF(Clients!$A$2:$A$51,C176)&lt;&gt;1,"Client à corriger",IF(COUNTIF(Services!$A$2:$A$4,E176)&lt;&gt;1,"Service à corriger",IF(OR(NOT(ISNUMBER(B176)),G176&lt;=0,H176&lt;0,COUNTIF(ListeStatuts,I176)&lt;&gt;1,COUNTIF(ListeFactures,P176)&lt;&gt;1),"Saisie à corriger",IF(AND(I176="Réalisé",OR(H176&lt;=0,B176&gt;Parametres!$B$7)),"Réalisation à vérifier",IF(AND(P176="Émise",OR(Q176="",I176&lt;&gt;"Réalisé")),"Facture à corriger",IF(AND(Q176&lt;&gt;"",COUNTIF($Q$2:$Q$301,Q176)&gt;1),"DOUBLON FACTURE",IF(AND(I176="Réalisé",ABS(G176-H176)&gt;0.001,T176=""),"Écart heures","OK")))))))))</f>
        <v/>
      </c>
      <c r="T176" s="8"/>
    </row>
    <row r="177" spans="1:20" ht="22" customHeight="1">
      <c r="A177" s="8"/>
      <c r="B177" s="6"/>
      <c r="C177" s="8"/>
      <c r="D177" s="9">
        <f>IF(C177="","",IFERROR(VLOOKUP(C177,Clients!$A$2:$M$51,12,FALSE),"CLIENT INCONNU"))</f>
        <v/>
      </c>
      <c r="E177" s="8"/>
      <c r="F177" s="9">
        <f>IF(E177="","",IFERROR(VLOOKUP(E177,Services!$A$2:$D$4,2,FALSE),"SERVICE INCONNU"))</f>
        <v/>
      </c>
      <c r="G177" s="8"/>
      <c r="H177" s="8"/>
      <c r="I177" s="8"/>
      <c r="J177" s="11">
        <f>IF(E177="","",IFERROR(VLOOKUP(E177,Services!$A$2:$D$4,3,FALSE),0))</f>
        <v/>
      </c>
      <c r="K177" s="9">
        <f>IF(C177="","",IFERROR(VLOOKUP(C177,Clients!$A$2:$M$51,11,FALSE),"Non"))</f>
        <v/>
      </c>
      <c r="L177" s="12">
        <f>IF(A177="","",IF(I177&lt;&gt;"Réalisé",0,IF(E177&lt;&gt;"Sexologie",0,IF(K177&lt;&gt;"Oui",0,IF(AND(B177&gt;=Parametres!$B$2,B177&lt;=Parametres!$B$3),Parametres!$B$5,0)))))</f>
        <v/>
      </c>
      <c r="M177" s="11">
        <f>IF(A177="","",IF(I177="Réalisé",ROUND(H177*J177,2),0))</f>
        <v/>
      </c>
      <c r="N177" s="11">
        <f>IF(A177="","",ROUND(M177*L177,2))</f>
        <v/>
      </c>
      <c r="O177" s="11">
        <f>IF(A177="","",ROUND(M177-N177,2))</f>
        <v/>
      </c>
      <c r="P177" s="8"/>
      <c r="Q177" s="8"/>
      <c r="R177" s="13">
        <f>IF(A177="","",IF(I177="Réalisé",H177,0))</f>
        <v/>
      </c>
      <c r="S177" s="9">
        <f>IF(A177="","",IF(COUNTIF($A$2:$A$301,A177)&gt;1,"DOUBLON RDV",IF(COUNTIF(Clients!$A$2:$A$51,C177)&lt;&gt;1,"Client à corriger",IF(COUNTIF(Services!$A$2:$A$4,E177)&lt;&gt;1,"Service à corriger",IF(OR(NOT(ISNUMBER(B177)),G177&lt;=0,H177&lt;0,COUNTIF(ListeStatuts,I177)&lt;&gt;1,COUNTIF(ListeFactures,P177)&lt;&gt;1),"Saisie à corriger",IF(AND(I177="Réalisé",OR(H177&lt;=0,B177&gt;Parametres!$B$7)),"Réalisation à vérifier",IF(AND(P177="Émise",OR(Q177="",I177&lt;&gt;"Réalisé")),"Facture à corriger",IF(AND(Q177&lt;&gt;"",COUNTIF($Q$2:$Q$301,Q177)&gt;1),"DOUBLON FACTURE",IF(AND(I177="Réalisé",ABS(G177-H177)&gt;0.001,T177=""),"Écart heures","OK")))))))))</f>
        <v/>
      </c>
      <c r="T177" s="8"/>
    </row>
    <row r="178" spans="1:20" ht="22" customHeight="1">
      <c r="A178" s="8"/>
      <c r="B178" s="6"/>
      <c r="C178" s="8"/>
      <c r="D178" s="9">
        <f>IF(C178="","",IFERROR(VLOOKUP(C178,Clients!$A$2:$M$51,12,FALSE),"CLIENT INCONNU"))</f>
        <v/>
      </c>
      <c r="E178" s="8"/>
      <c r="F178" s="9">
        <f>IF(E178="","",IFERROR(VLOOKUP(E178,Services!$A$2:$D$4,2,FALSE),"SERVICE INCONNU"))</f>
        <v/>
      </c>
      <c r="G178" s="8"/>
      <c r="H178" s="8"/>
      <c r="I178" s="8"/>
      <c r="J178" s="11">
        <f>IF(E178="","",IFERROR(VLOOKUP(E178,Services!$A$2:$D$4,3,FALSE),0))</f>
        <v/>
      </c>
      <c r="K178" s="9">
        <f>IF(C178="","",IFERROR(VLOOKUP(C178,Clients!$A$2:$M$51,11,FALSE),"Non"))</f>
        <v/>
      </c>
      <c r="L178" s="12">
        <f>IF(A178="","",IF(I178&lt;&gt;"Réalisé",0,IF(E178&lt;&gt;"Sexologie",0,IF(K178&lt;&gt;"Oui",0,IF(AND(B178&gt;=Parametres!$B$2,B178&lt;=Parametres!$B$3),Parametres!$B$5,0)))))</f>
        <v/>
      </c>
      <c r="M178" s="11">
        <f>IF(A178="","",IF(I178="Réalisé",ROUND(H178*J178,2),0))</f>
        <v/>
      </c>
      <c r="N178" s="11">
        <f>IF(A178="","",ROUND(M178*L178,2))</f>
        <v/>
      </c>
      <c r="O178" s="11">
        <f>IF(A178="","",ROUND(M178-N178,2))</f>
        <v/>
      </c>
      <c r="P178" s="8"/>
      <c r="Q178" s="8"/>
      <c r="R178" s="13">
        <f>IF(A178="","",IF(I178="Réalisé",H178,0))</f>
        <v/>
      </c>
      <c r="S178" s="9">
        <f>IF(A178="","",IF(COUNTIF($A$2:$A$301,A178)&gt;1,"DOUBLON RDV",IF(COUNTIF(Clients!$A$2:$A$51,C178)&lt;&gt;1,"Client à corriger",IF(COUNTIF(Services!$A$2:$A$4,E178)&lt;&gt;1,"Service à corriger",IF(OR(NOT(ISNUMBER(B178)),G178&lt;=0,H178&lt;0,COUNTIF(ListeStatuts,I178)&lt;&gt;1,COUNTIF(ListeFactures,P178)&lt;&gt;1),"Saisie à corriger",IF(AND(I178="Réalisé",OR(H178&lt;=0,B178&gt;Parametres!$B$7)),"Réalisation à vérifier",IF(AND(P178="Émise",OR(Q178="",I178&lt;&gt;"Réalisé")),"Facture à corriger",IF(AND(Q178&lt;&gt;"",COUNTIF($Q$2:$Q$301,Q178)&gt;1),"DOUBLON FACTURE",IF(AND(I178="Réalisé",ABS(G178-H178)&gt;0.001,T178=""),"Écart heures","OK")))))))))</f>
        <v/>
      </c>
      <c r="T178" s="8"/>
    </row>
    <row r="179" spans="1:20" ht="22" customHeight="1">
      <c r="A179" s="8"/>
      <c r="B179" s="6"/>
      <c r="C179" s="8"/>
      <c r="D179" s="9">
        <f>IF(C179="","",IFERROR(VLOOKUP(C179,Clients!$A$2:$M$51,12,FALSE),"CLIENT INCONNU"))</f>
        <v/>
      </c>
      <c r="E179" s="8"/>
      <c r="F179" s="9">
        <f>IF(E179="","",IFERROR(VLOOKUP(E179,Services!$A$2:$D$4,2,FALSE),"SERVICE INCONNU"))</f>
        <v/>
      </c>
      <c r="G179" s="8"/>
      <c r="H179" s="8"/>
      <c r="I179" s="8"/>
      <c r="J179" s="11">
        <f>IF(E179="","",IFERROR(VLOOKUP(E179,Services!$A$2:$D$4,3,FALSE),0))</f>
        <v/>
      </c>
      <c r="K179" s="9">
        <f>IF(C179="","",IFERROR(VLOOKUP(C179,Clients!$A$2:$M$51,11,FALSE),"Non"))</f>
        <v/>
      </c>
      <c r="L179" s="12">
        <f>IF(A179="","",IF(I179&lt;&gt;"Réalisé",0,IF(E179&lt;&gt;"Sexologie",0,IF(K179&lt;&gt;"Oui",0,IF(AND(B179&gt;=Parametres!$B$2,B179&lt;=Parametres!$B$3),Parametres!$B$5,0)))))</f>
        <v/>
      </c>
      <c r="M179" s="11">
        <f>IF(A179="","",IF(I179="Réalisé",ROUND(H179*J179,2),0))</f>
        <v/>
      </c>
      <c r="N179" s="11">
        <f>IF(A179="","",ROUND(M179*L179,2))</f>
        <v/>
      </c>
      <c r="O179" s="11">
        <f>IF(A179="","",ROUND(M179-N179,2))</f>
        <v/>
      </c>
      <c r="P179" s="8"/>
      <c r="Q179" s="8"/>
      <c r="R179" s="13">
        <f>IF(A179="","",IF(I179="Réalisé",H179,0))</f>
        <v/>
      </c>
      <c r="S179" s="9">
        <f>IF(A179="","",IF(COUNTIF($A$2:$A$301,A179)&gt;1,"DOUBLON RDV",IF(COUNTIF(Clients!$A$2:$A$51,C179)&lt;&gt;1,"Client à corriger",IF(COUNTIF(Services!$A$2:$A$4,E179)&lt;&gt;1,"Service à corriger",IF(OR(NOT(ISNUMBER(B179)),G179&lt;=0,H179&lt;0,COUNTIF(ListeStatuts,I179)&lt;&gt;1,COUNTIF(ListeFactures,P179)&lt;&gt;1),"Saisie à corriger",IF(AND(I179="Réalisé",OR(H179&lt;=0,B179&gt;Parametres!$B$7)),"Réalisation à vérifier",IF(AND(P179="Émise",OR(Q179="",I179&lt;&gt;"Réalisé")),"Facture à corriger",IF(AND(Q179&lt;&gt;"",COUNTIF($Q$2:$Q$301,Q179)&gt;1),"DOUBLON FACTURE",IF(AND(I179="Réalisé",ABS(G179-H179)&gt;0.001,T179=""),"Écart heures","OK")))))))))</f>
        <v/>
      </c>
      <c r="T179" s="8"/>
    </row>
    <row r="180" spans="1:20" ht="22" customHeight="1">
      <c r="A180" s="8"/>
      <c r="B180" s="6"/>
      <c r="C180" s="8"/>
      <c r="D180" s="9">
        <f>IF(C180="","",IFERROR(VLOOKUP(C180,Clients!$A$2:$M$51,12,FALSE),"CLIENT INCONNU"))</f>
        <v/>
      </c>
      <c r="E180" s="8"/>
      <c r="F180" s="9">
        <f>IF(E180="","",IFERROR(VLOOKUP(E180,Services!$A$2:$D$4,2,FALSE),"SERVICE INCONNU"))</f>
        <v/>
      </c>
      <c r="G180" s="8"/>
      <c r="H180" s="8"/>
      <c r="I180" s="8"/>
      <c r="J180" s="11">
        <f>IF(E180="","",IFERROR(VLOOKUP(E180,Services!$A$2:$D$4,3,FALSE),0))</f>
        <v/>
      </c>
      <c r="K180" s="9">
        <f>IF(C180="","",IFERROR(VLOOKUP(C180,Clients!$A$2:$M$51,11,FALSE),"Non"))</f>
        <v/>
      </c>
      <c r="L180" s="12">
        <f>IF(A180="","",IF(I180&lt;&gt;"Réalisé",0,IF(E180&lt;&gt;"Sexologie",0,IF(K180&lt;&gt;"Oui",0,IF(AND(B180&gt;=Parametres!$B$2,B180&lt;=Parametres!$B$3),Parametres!$B$5,0)))))</f>
        <v/>
      </c>
      <c r="M180" s="11">
        <f>IF(A180="","",IF(I180="Réalisé",ROUND(H180*J180,2),0))</f>
        <v/>
      </c>
      <c r="N180" s="11">
        <f>IF(A180="","",ROUND(M180*L180,2))</f>
        <v/>
      </c>
      <c r="O180" s="11">
        <f>IF(A180="","",ROUND(M180-N180,2))</f>
        <v/>
      </c>
      <c r="P180" s="8"/>
      <c r="Q180" s="8"/>
      <c r="R180" s="13">
        <f>IF(A180="","",IF(I180="Réalisé",H180,0))</f>
        <v/>
      </c>
      <c r="S180" s="9">
        <f>IF(A180="","",IF(COUNTIF($A$2:$A$301,A180)&gt;1,"DOUBLON RDV",IF(COUNTIF(Clients!$A$2:$A$51,C180)&lt;&gt;1,"Client à corriger",IF(COUNTIF(Services!$A$2:$A$4,E180)&lt;&gt;1,"Service à corriger",IF(OR(NOT(ISNUMBER(B180)),G180&lt;=0,H180&lt;0,COUNTIF(ListeStatuts,I180)&lt;&gt;1,COUNTIF(ListeFactures,P180)&lt;&gt;1),"Saisie à corriger",IF(AND(I180="Réalisé",OR(H180&lt;=0,B180&gt;Parametres!$B$7)),"Réalisation à vérifier",IF(AND(P180="Émise",OR(Q180="",I180&lt;&gt;"Réalisé")),"Facture à corriger",IF(AND(Q180&lt;&gt;"",COUNTIF($Q$2:$Q$301,Q180)&gt;1),"DOUBLON FACTURE",IF(AND(I180="Réalisé",ABS(G180-H180)&gt;0.001,T180=""),"Écart heures","OK")))))))))</f>
        <v/>
      </c>
      <c r="T180" s="8"/>
    </row>
    <row r="181" spans="1:20" ht="22" customHeight="1">
      <c r="A181" s="8"/>
      <c r="B181" s="6"/>
      <c r="C181" s="8"/>
      <c r="D181" s="9">
        <f>IF(C181="","",IFERROR(VLOOKUP(C181,Clients!$A$2:$M$51,12,FALSE),"CLIENT INCONNU"))</f>
        <v/>
      </c>
      <c r="E181" s="8"/>
      <c r="F181" s="9">
        <f>IF(E181="","",IFERROR(VLOOKUP(E181,Services!$A$2:$D$4,2,FALSE),"SERVICE INCONNU"))</f>
        <v/>
      </c>
      <c r="G181" s="8"/>
      <c r="H181" s="8"/>
      <c r="I181" s="8"/>
      <c r="J181" s="11">
        <f>IF(E181="","",IFERROR(VLOOKUP(E181,Services!$A$2:$D$4,3,FALSE),0))</f>
        <v/>
      </c>
      <c r="K181" s="9">
        <f>IF(C181="","",IFERROR(VLOOKUP(C181,Clients!$A$2:$M$51,11,FALSE),"Non"))</f>
        <v/>
      </c>
      <c r="L181" s="12">
        <f>IF(A181="","",IF(I181&lt;&gt;"Réalisé",0,IF(E181&lt;&gt;"Sexologie",0,IF(K181&lt;&gt;"Oui",0,IF(AND(B181&gt;=Parametres!$B$2,B181&lt;=Parametres!$B$3),Parametres!$B$5,0)))))</f>
        <v/>
      </c>
      <c r="M181" s="11">
        <f>IF(A181="","",IF(I181="Réalisé",ROUND(H181*J181,2),0))</f>
        <v/>
      </c>
      <c r="N181" s="11">
        <f>IF(A181="","",ROUND(M181*L181,2))</f>
        <v/>
      </c>
      <c r="O181" s="11">
        <f>IF(A181="","",ROUND(M181-N181,2))</f>
        <v/>
      </c>
      <c r="P181" s="8"/>
      <c r="Q181" s="8"/>
      <c r="R181" s="13">
        <f>IF(A181="","",IF(I181="Réalisé",H181,0))</f>
        <v/>
      </c>
      <c r="S181" s="9">
        <f>IF(A181="","",IF(COUNTIF($A$2:$A$301,A181)&gt;1,"DOUBLON RDV",IF(COUNTIF(Clients!$A$2:$A$51,C181)&lt;&gt;1,"Client à corriger",IF(COUNTIF(Services!$A$2:$A$4,E181)&lt;&gt;1,"Service à corriger",IF(OR(NOT(ISNUMBER(B181)),G181&lt;=0,H181&lt;0,COUNTIF(ListeStatuts,I181)&lt;&gt;1,COUNTIF(ListeFactures,P181)&lt;&gt;1),"Saisie à corriger",IF(AND(I181="Réalisé",OR(H181&lt;=0,B181&gt;Parametres!$B$7)),"Réalisation à vérifier",IF(AND(P181="Émise",OR(Q181="",I181&lt;&gt;"Réalisé")),"Facture à corriger",IF(AND(Q181&lt;&gt;"",COUNTIF($Q$2:$Q$301,Q181)&gt;1),"DOUBLON FACTURE",IF(AND(I181="Réalisé",ABS(G181-H181)&gt;0.001,T181=""),"Écart heures","OK")))))))))</f>
        <v/>
      </c>
      <c r="T181" s="8"/>
    </row>
    <row r="182" spans="1:20" ht="22" customHeight="1">
      <c r="A182" s="8"/>
      <c r="B182" s="6"/>
      <c r="C182" s="8"/>
      <c r="D182" s="9">
        <f>IF(C182="","",IFERROR(VLOOKUP(C182,Clients!$A$2:$M$51,12,FALSE),"CLIENT INCONNU"))</f>
        <v/>
      </c>
      <c r="E182" s="8"/>
      <c r="F182" s="9">
        <f>IF(E182="","",IFERROR(VLOOKUP(E182,Services!$A$2:$D$4,2,FALSE),"SERVICE INCONNU"))</f>
        <v/>
      </c>
      <c r="G182" s="8"/>
      <c r="H182" s="8"/>
      <c r="I182" s="8"/>
      <c r="J182" s="11">
        <f>IF(E182="","",IFERROR(VLOOKUP(E182,Services!$A$2:$D$4,3,FALSE),0))</f>
        <v/>
      </c>
      <c r="K182" s="9">
        <f>IF(C182="","",IFERROR(VLOOKUP(C182,Clients!$A$2:$M$51,11,FALSE),"Non"))</f>
        <v/>
      </c>
      <c r="L182" s="12">
        <f>IF(A182="","",IF(I182&lt;&gt;"Réalisé",0,IF(E182&lt;&gt;"Sexologie",0,IF(K182&lt;&gt;"Oui",0,IF(AND(B182&gt;=Parametres!$B$2,B182&lt;=Parametres!$B$3),Parametres!$B$5,0)))))</f>
        <v/>
      </c>
      <c r="M182" s="11">
        <f>IF(A182="","",IF(I182="Réalisé",ROUND(H182*J182,2),0))</f>
        <v/>
      </c>
      <c r="N182" s="11">
        <f>IF(A182="","",ROUND(M182*L182,2))</f>
        <v/>
      </c>
      <c r="O182" s="11">
        <f>IF(A182="","",ROUND(M182-N182,2))</f>
        <v/>
      </c>
      <c r="P182" s="8"/>
      <c r="Q182" s="8"/>
      <c r="R182" s="13">
        <f>IF(A182="","",IF(I182="Réalisé",H182,0))</f>
        <v/>
      </c>
      <c r="S182" s="9">
        <f>IF(A182="","",IF(COUNTIF($A$2:$A$301,A182)&gt;1,"DOUBLON RDV",IF(COUNTIF(Clients!$A$2:$A$51,C182)&lt;&gt;1,"Client à corriger",IF(COUNTIF(Services!$A$2:$A$4,E182)&lt;&gt;1,"Service à corriger",IF(OR(NOT(ISNUMBER(B182)),G182&lt;=0,H182&lt;0,COUNTIF(ListeStatuts,I182)&lt;&gt;1,COUNTIF(ListeFactures,P182)&lt;&gt;1),"Saisie à corriger",IF(AND(I182="Réalisé",OR(H182&lt;=0,B182&gt;Parametres!$B$7)),"Réalisation à vérifier",IF(AND(P182="Émise",OR(Q182="",I182&lt;&gt;"Réalisé")),"Facture à corriger",IF(AND(Q182&lt;&gt;"",COUNTIF($Q$2:$Q$301,Q182)&gt;1),"DOUBLON FACTURE",IF(AND(I182="Réalisé",ABS(G182-H182)&gt;0.001,T182=""),"Écart heures","OK")))))))))</f>
        <v/>
      </c>
      <c r="T182" s="8"/>
    </row>
    <row r="183" spans="1:20" ht="22" customHeight="1">
      <c r="A183" s="8"/>
      <c r="B183" s="6"/>
      <c r="C183" s="8"/>
      <c r="D183" s="9">
        <f>IF(C183="","",IFERROR(VLOOKUP(C183,Clients!$A$2:$M$51,12,FALSE),"CLIENT INCONNU"))</f>
        <v/>
      </c>
      <c r="E183" s="8"/>
      <c r="F183" s="9">
        <f>IF(E183="","",IFERROR(VLOOKUP(E183,Services!$A$2:$D$4,2,FALSE),"SERVICE INCONNU"))</f>
        <v/>
      </c>
      <c r="G183" s="8"/>
      <c r="H183" s="8"/>
      <c r="I183" s="8"/>
      <c r="J183" s="11">
        <f>IF(E183="","",IFERROR(VLOOKUP(E183,Services!$A$2:$D$4,3,FALSE),0))</f>
        <v/>
      </c>
      <c r="K183" s="9">
        <f>IF(C183="","",IFERROR(VLOOKUP(C183,Clients!$A$2:$M$51,11,FALSE),"Non"))</f>
        <v/>
      </c>
      <c r="L183" s="12">
        <f>IF(A183="","",IF(I183&lt;&gt;"Réalisé",0,IF(E183&lt;&gt;"Sexologie",0,IF(K183&lt;&gt;"Oui",0,IF(AND(B183&gt;=Parametres!$B$2,B183&lt;=Parametres!$B$3),Parametres!$B$5,0)))))</f>
        <v/>
      </c>
      <c r="M183" s="11">
        <f>IF(A183="","",IF(I183="Réalisé",ROUND(H183*J183,2),0))</f>
        <v/>
      </c>
      <c r="N183" s="11">
        <f>IF(A183="","",ROUND(M183*L183,2))</f>
        <v/>
      </c>
      <c r="O183" s="11">
        <f>IF(A183="","",ROUND(M183-N183,2))</f>
        <v/>
      </c>
      <c r="P183" s="8"/>
      <c r="Q183" s="8"/>
      <c r="R183" s="13">
        <f>IF(A183="","",IF(I183="Réalisé",H183,0))</f>
        <v/>
      </c>
      <c r="S183" s="9">
        <f>IF(A183="","",IF(COUNTIF($A$2:$A$301,A183)&gt;1,"DOUBLON RDV",IF(COUNTIF(Clients!$A$2:$A$51,C183)&lt;&gt;1,"Client à corriger",IF(COUNTIF(Services!$A$2:$A$4,E183)&lt;&gt;1,"Service à corriger",IF(OR(NOT(ISNUMBER(B183)),G183&lt;=0,H183&lt;0,COUNTIF(ListeStatuts,I183)&lt;&gt;1,COUNTIF(ListeFactures,P183)&lt;&gt;1),"Saisie à corriger",IF(AND(I183="Réalisé",OR(H183&lt;=0,B183&gt;Parametres!$B$7)),"Réalisation à vérifier",IF(AND(P183="Émise",OR(Q183="",I183&lt;&gt;"Réalisé")),"Facture à corriger",IF(AND(Q183&lt;&gt;"",COUNTIF($Q$2:$Q$301,Q183)&gt;1),"DOUBLON FACTURE",IF(AND(I183="Réalisé",ABS(G183-H183)&gt;0.001,T183=""),"Écart heures","OK")))))))))</f>
        <v/>
      </c>
      <c r="T183" s="8"/>
    </row>
    <row r="184" spans="1:20" ht="22" customHeight="1">
      <c r="A184" s="8"/>
      <c r="B184" s="6"/>
      <c r="C184" s="8"/>
      <c r="D184" s="9">
        <f>IF(C184="","",IFERROR(VLOOKUP(C184,Clients!$A$2:$M$51,12,FALSE),"CLIENT INCONNU"))</f>
        <v/>
      </c>
      <c r="E184" s="8"/>
      <c r="F184" s="9">
        <f>IF(E184="","",IFERROR(VLOOKUP(E184,Services!$A$2:$D$4,2,FALSE),"SERVICE INCONNU"))</f>
        <v/>
      </c>
      <c r="G184" s="8"/>
      <c r="H184" s="8"/>
      <c r="I184" s="8"/>
      <c r="J184" s="11">
        <f>IF(E184="","",IFERROR(VLOOKUP(E184,Services!$A$2:$D$4,3,FALSE),0))</f>
        <v/>
      </c>
      <c r="K184" s="9">
        <f>IF(C184="","",IFERROR(VLOOKUP(C184,Clients!$A$2:$M$51,11,FALSE),"Non"))</f>
        <v/>
      </c>
      <c r="L184" s="12">
        <f>IF(A184="","",IF(I184&lt;&gt;"Réalisé",0,IF(E184&lt;&gt;"Sexologie",0,IF(K184&lt;&gt;"Oui",0,IF(AND(B184&gt;=Parametres!$B$2,B184&lt;=Parametres!$B$3),Parametres!$B$5,0)))))</f>
        <v/>
      </c>
      <c r="M184" s="11">
        <f>IF(A184="","",IF(I184="Réalisé",ROUND(H184*J184,2),0))</f>
        <v/>
      </c>
      <c r="N184" s="11">
        <f>IF(A184="","",ROUND(M184*L184,2))</f>
        <v/>
      </c>
      <c r="O184" s="11">
        <f>IF(A184="","",ROUND(M184-N184,2))</f>
        <v/>
      </c>
      <c r="P184" s="8"/>
      <c r="Q184" s="8"/>
      <c r="R184" s="13">
        <f>IF(A184="","",IF(I184="Réalisé",H184,0))</f>
        <v/>
      </c>
      <c r="S184" s="9">
        <f>IF(A184="","",IF(COUNTIF($A$2:$A$301,A184)&gt;1,"DOUBLON RDV",IF(COUNTIF(Clients!$A$2:$A$51,C184)&lt;&gt;1,"Client à corriger",IF(COUNTIF(Services!$A$2:$A$4,E184)&lt;&gt;1,"Service à corriger",IF(OR(NOT(ISNUMBER(B184)),G184&lt;=0,H184&lt;0,COUNTIF(ListeStatuts,I184)&lt;&gt;1,COUNTIF(ListeFactures,P184)&lt;&gt;1),"Saisie à corriger",IF(AND(I184="Réalisé",OR(H184&lt;=0,B184&gt;Parametres!$B$7)),"Réalisation à vérifier",IF(AND(P184="Émise",OR(Q184="",I184&lt;&gt;"Réalisé")),"Facture à corriger",IF(AND(Q184&lt;&gt;"",COUNTIF($Q$2:$Q$301,Q184)&gt;1),"DOUBLON FACTURE",IF(AND(I184="Réalisé",ABS(G184-H184)&gt;0.001,T184=""),"Écart heures","OK")))))))))</f>
        <v/>
      </c>
      <c r="T184" s="8"/>
    </row>
    <row r="185" spans="1:20" ht="22" customHeight="1">
      <c r="A185" s="8"/>
      <c r="B185" s="6"/>
      <c r="C185" s="8"/>
      <c r="D185" s="9">
        <f>IF(C185="","",IFERROR(VLOOKUP(C185,Clients!$A$2:$M$51,12,FALSE),"CLIENT INCONNU"))</f>
        <v/>
      </c>
      <c r="E185" s="8"/>
      <c r="F185" s="9">
        <f>IF(E185="","",IFERROR(VLOOKUP(E185,Services!$A$2:$D$4,2,FALSE),"SERVICE INCONNU"))</f>
        <v/>
      </c>
      <c r="G185" s="8"/>
      <c r="H185" s="8"/>
      <c r="I185" s="8"/>
      <c r="J185" s="11">
        <f>IF(E185="","",IFERROR(VLOOKUP(E185,Services!$A$2:$D$4,3,FALSE),0))</f>
        <v/>
      </c>
      <c r="K185" s="9">
        <f>IF(C185="","",IFERROR(VLOOKUP(C185,Clients!$A$2:$M$51,11,FALSE),"Non"))</f>
        <v/>
      </c>
      <c r="L185" s="12">
        <f>IF(A185="","",IF(I185&lt;&gt;"Réalisé",0,IF(E185&lt;&gt;"Sexologie",0,IF(K185&lt;&gt;"Oui",0,IF(AND(B185&gt;=Parametres!$B$2,B185&lt;=Parametres!$B$3),Parametres!$B$5,0)))))</f>
        <v/>
      </c>
      <c r="M185" s="11">
        <f>IF(A185="","",IF(I185="Réalisé",ROUND(H185*J185,2),0))</f>
        <v/>
      </c>
      <c r="N185" s="11">
        <f>IF(A185="","",ROUND(M185*L185,2))</f>
        <v/>
      </c>
      <c r="O185" s="11">
        <f>IF(A185="","",ROUND(M185-N185,2))</f>
        <v/>
      </c>
      <c r="P185" s="8"/>
      <c r="Q185" s="8"/>
      <c r="R185" s="13">
        <f>IF(A185="","",IF(I185="Réalisé",H185,0))</f>
        <v/>
      </c>
      <c r="S185" s="9">
        <f>IF(A185="","",IF(COUNTIF($A$2:$A$301,A185)&gt;1,"DOUBLON RDV",IF(COUNTIF(Clients!$A$2:$A$51,C185)&lt;&gt;1,"Client à corriger",IF(COUNTIF(Services!$A$2:$A$4,E185)&lt;&gt;1,"Service à corriger",IF(OR(NOT(ISNUMBER(B185)),G185&lt;=0,H185&lt;0,COUNTIF(ListeStatuts,I185)&lt;&gt;1,COUNTIF(ListeFactures,P185)&lt;&gt;1),"Saisie à corriger",IF(AND(I185="Réalisé",OR(H185&lt;=0,B185&gt;Parametres!$B$7)),"Réalisation à vérifier",IF(AND(P185="Émise",OR(Q185="",I185&lt;&gt;"Réalisé")),"Facture à corriger",IF(AND(Q185&lt;&gt;"",COUNTIF($Q$2:$Q$301,Q185)&gt;1),"DOUBLON FACTURE",IF(AND(I185="Réalisé",ABS(G185-H185)&gt;0.001,T185=""),"Écart heures","OK")))))))))</f>
        <v/>
      </c>
      <c r="T185" s="8"/>
    </row>
    <row r="186" spans="1:20" ht="22" customHeight="1">
      <c r="A186" s="8"/>
      <c r="B186" s="6"/>
      <c r="C186" s="8"/>
      <c r="D186" s="9">
        <f>IF(C186="","",IFERROR(VLOOKUP(C186,Clients!$A$2:$M$51,12,FALSE),"CLIENT INCONNU"))</f>
        <v/>
      </c>
      <c r="E186" s="8"/>
      <c r="F186" s="9">
        <f>IF(E186="","",IFERROR(VLOOKUP(E186,Services!$A$2:$D$4,2,FALSE),"SERVICE INCONNU"))</f>
        <v/>
      </c>
      <c r="G186" s="8"/>
      <c r="H186" s="8"/>
      <c r="I186" s="8"/>
      <c r="J186" s="11">
        <f>IF(E186="","",IFERROR(VLOOKUP(E186,Services!$A$2:$D$4,3,FALSE),0))</f>
        <v/>
      </c>
      <c r="K186" s="9">
        <f>IF(C186="","",IFERROR(VLOOKUP(C186,Clients!$A$2:$M$51,11,FALSE),"Non"))</f>
        <v/>
      </c>
      <c r="L186" s="12">
        <f>IF(A186="","",IF(I186&lt;&gt;"Réalisé",0,IF(E186&lt;&gt;"Sexologie",0,IF(K186&lt;&gt;"Oui",0,IF(AND(B186&gt;=Parametres!$B$2,B186&lt;=Parametres!$B$3),Parametres!$B$5,0)))))</f>
        <v/>
      </c>
      <c r="M186" s="11">
        <f>IF(A186="","",IF(I186="Réalisé",ROUND(H186*J186,2),0))</f>
        <v/>
      </c>
      <c r="N186" s="11">
        <f>IF(A186="","",ROUND(M186*L186,2))</f>
        <v/>
      </c>
      <c r="O186" s="11">
        <f>IF(A186="","",ROUND(M186-N186,2))</f>
        <v/>
      </c>
      <c r="P186" s="8"/>
      <c r="Q186" s="8"/>
      <c r="R186" s="13">
        <f>IF(A186="","",IF(I186="Réalisé",H186,0))</f>
        <v/>
      </c>
      <c r="S186" s="9">
        <f>IF(A186="","",IF(COUNTIF($A$2:$A$301,A186)&gt;1,"DOUBLON RDV",IF(COUNTIF(Clients!$A$2:$A$51,C186)&lt;&gt;1,"Client à corriger",IF(COUNTIF(Services!$A$2:$A$4,E186)&lt;&gt;1,"Service à corriger",IF(OR(NOT(ISNUMBER(B186)),G186&lt;=0,H186&lt;0,COUNTIF(ListeStatuts,I186)&lt;&gt;1,COUNTIF(ListeFactures,P186)&lt;&gt;1),"Saisie à corriger",IF(AND(I186="Réalisé",OR(H186&lt;=0,B186&gt;Parametres!$B$7)),"Réalisation à vérifier",IF(AND(P186="Émise",OR(Q186="",I186&lt;&gt;"Réalisé")),"Facture à corriger",IF(AND(Q186&lt;&gt;"",COUNTIF($Q$2:$Q$301,Q186)&gt;1),"DOUBLON FACTURE",IF(AND(I186="Réalisé",ABS(G186-H186)&gt;0.001,T186=""),"Écart heures","OK")))))))))</f>
        <v/>
      </c>
      <c r="T186" s="8"/>
    </row>
    <row r="187" spans="1:20" ht="22" customHeight="1">
      <c r="A187" s="8"/>
      <c r="B187" s="6"/>
      <c r="C187" s="8"/>
      <c r="D187" s="9">
        <f>IF(C187="","",IFERROR(VLOOKUP(C187,Clients!$A$2:$M$51,12,FALSE),"CLIENT INCONNU"))</f>
        <v/>
      </c>
      <c r="E187" s="8"/>
      <c r="F187" s="9">
        <f>IF(E187="","",IFERROR(VLOOKUP(E187,Services!$A$2:$D$4,2,FALSE),"SERVICE INCONNU"))</f>
        <v/>
      </c>
      <c r="G187" s="8"/>
      <c r="H187" s="8"/>
      <c r="I187" s="8"/>
      <c r="J187" s="11">
        <f>IF(E187="","",IFERROR(VLOOKUP(E187,Services!$A$2:$D$4,3,FALSE),0))</f>
        <v/>
      </c>
      <c r="K187" s="9">
        <f>IF(C187="","",IFERROR(VLOOKUP(C187,Clients!$A$2:$M$51,11,FALSE),"Non"))</f>
        <v/>
      </c>
      <c r="L187" s="12">
        <f>IF(A187="","",IF(I187&lt;&gt;"Réalisé",0,IF(E187&lt;&gt;"Sexologie",0,IF(K187&lt;&gt;"Oui",0,IF(AND(B187&gt;=Parametres!$B$2,B187&lt;=Parametres!$B$3),Parametres!$B$5,0)))))</f>
        <v/>
      </c>
      <c r="M187" s="11">
        <f>IF(A187="","",IF(I187="Réalisé",ROUND(H187*J187,2),0))</f>
        <v/>
      </c>
      <c r="N187" s="11">
        <f>IF(A187="","",ROUND(M187*L187,2))</f>
        <v/>
      </c>
      <c r="O187" s="11">
        <f>IF(A187="","",ROUND(M187-N187,2))</f>
        <v/>
      </c>
      <c r="P187" s="8"/>
      <c r="Q187" s="8"/>
      <c r="R187" s="13">
        <f>IF(A187="","",IF(I187="Réalisé",H187,0))</f>
        <v/>
      </c>
      <c r="S187" s="9">
        <f>IF(A187="","",IF(COUNTIF($A$2:$A$301,A187)&gt;1,"DOUBLON RDV",IF(COUNTIF(Clients!$A$2:$A$51,C187)&lt;&gt;1,"Client à corriger",IF(COUNTIF(Services!$A$2:$A$4,E187)&lt;&gt;1,"Service à corriger",IF(OR(NOT(ISNUMBER(B187)),G187&lt;=0,H187&lt;0,COUNTIF(ListeStatuts,I187)&lt;&gt;1,COUNTIF(ListeFactures,P187)&lt;&gt;1),"Saisie à corriger",IF(AND(I187="Réalisé",OR(H187&lt;=0,B187&gt;Parametres!$B$7)),"Réalisation à vérifier",IF(AND(P187="Émise",OR(Q187="",I187&lt;&gt;"Réalisé")),"Facture à corriger",IF(AND(Q187&lt;&gt;"",COUNTIF($Q$2:$Q$301,Q187)&gt;1),"DOUBLON FACTURE",IF(AND(I187="Réalisé",ABS(G187-H187)&gt;0.001,T187=""),"Écart heures","OK")))))))))</f>
        <v/>
      </c>
      <c r="T187" s="8"/>
    </row>
    <row r="188" spans="1:20" ht="22" customHeight="1">
      <c r="A188" s="8"/>
      <c r="B188" s="6"/>
      <c r="C188" s="8"/>
      <c r="D188" s="9">
        <f>IF(C188="","",IFERROR(VLOOKUP(C188,Clients!$A$2:$M$51,12,FALSE),"CLIENT INCONNU"))</f>
        <v/>
      </c>
      <c r="E188" s="8"/>
      <c r="F188" s="9">
        <f>IF(E188="","",IFERROR(VLOOKUP(E188,Services!$A$2:$D$4,2,FALSE),"SERVICE INCONNU"))</f>
        <v/>
      </c>
      <c r="G188" s="8"/>
      <c r="H188" s="8"/>
      <c r="I188" s="8"/>
      <c r="J188" s="11">
        <f>IF(E188="","",IFERROR(VLOOKUP(E188,Services!$A$2:$D$4,3,FALSE),0))</f>
        <v/>
      </c>
      <c r="K188" s="9">
        <f>IF(C188="","",IFERROR(VLOOKUP(C188,Clients!$A$2:$M$51,11,FALSE),"Non"))</f>
        <v/>
      </c>
      <c r="L188" s="12">
        <f>IF(A188="","",IF(I188&lt;&gt;"Réalisé",0,IF(E188&lt;&gt;"Sexologie",0,IF(K188&lt;&gt;"Oui",0,IF(AND(B188&gt;=Parametres!$B$2,B188&lt;=Parametres!$B$3),Parametres!$B$5,0)))))</f>
        <v/>
      </c>
      <c r="M188" s="11">
        <f>IF(A188="","",IF(I188="Réalisé",ROUND(H188*J188,2),0))</f>
        <v/>
      </c>
      <c r="N188" s="11">
        <f>IF(A188="","",ROUND(M188*L188,2))</f>
        <v/>
      </c>
      <c r="O188" s="11">
        <f>IF(A188="","",ROUND(M188-N188,2))</f>
        <v/>
      </c>
      <c r="P188" s="8"/>
      <c r="Q188" s="8"/>
      <c r="R188" s="13">
        <f>IF(A188="","",IF(I188="Réalisé",H188,0))</f>
        <v/>
      </c>
      <c r="S188" s="9">
        <f>IF(A188="","",IF(COUNTIF($A$2:$A$301,A188)&gt;1,"DOUBLON RDV",IF(COUNTIF(Clients!$A$2:$A$51,C188)&lt;&gt;1,"Client à corriger",IF(COUNTIF(Services!$A$2:$A$4,E188)&lt;&gt;1,"Service à corriger",IF(OR(NOT(ISNUMBER(B188)),G188&lt;=0,H188&lt;0,COUNTIF(ListeStatuts,I188)&lt;&gt;1,COUNTIF(ListeFactures,P188)&lt;&gt;1),"Saisie à corriger",IF(AND(I188="Réalisé",OR(H188&lt;=0,B188&gt;Parametres!$B$7)),"Réalisation à vérifier",IF(AND(P188="Émise",OR(Q188="",I188&lt;&gt;"Réalisé")),"Facture à corriger",IF(AND(Q188&lt;&gt;"",COUNTIF($Q$2:$Q$301,Q188)&gt;1),"DOUBLON FACTURE",IF(AND(I188="Réalisé",ABS(G188-H188)&gt;0.001,T188=""),"Écart heures","OK")))))))))</f>
        <v/>
      </c>
      <c r="T188" s="8"/>
    </row>
    <row r="189" spans="1:20" ht="22" customHeight="1">
      <c r="A189" s="8"/>
      <c r="B189" s="6"/>
      <c r="C189" s="8"/>
      <c r="D189" s="9">
        <f>IF(C189="","",IFERROR(VLOOKUP(C189,Clients!$A$2:$M$51,12,FALSE),"CLIENT INCONNU"))</f>
        <v/>
      </c>
      <c r="E189" s="8"/>
      <c r="F189" s="9">
        <f>IF(E189="","",IFERROR(VLOOKUP(E189,Services!$A$2:$D$4,2,FALSE),"SERVICE INCONNU"))</f>
        <v/>
      </c>
      <c r="G189" s="8"/>
      <c r="H189" s="8"/>
      <c r="I189" s="8"/>
      <c r="J189" s="11">
        <f>IF(E189="","",IFERROR(VLOOKUP(E189,Services!$A$2:$D$4,3,FALSE),0))</f>
        <v/>
      </c>
      <c r="K189" s="9">
        <f>IF(C189="","",IFERROR(VLOOKUP(C189,Clients!$A$2:$M$51,11,FALSE),"Non"))</f>
        <v/>
      </c>
      <c r="L189" s="12">
        <f>IF(A189="","",IF(I189&lt;&gt;"Réalisé",0,IF(E189&lt;&gt;"Sexologie",0,IF(K189&lt;&gt;"Oui",0,IF(AND(B189&gt;=Parametres!$B$2,B189&lt;=Parametres!$B$3),Parametres!$B$5,0)))))</f>
        <v/>
      </c>
      <c r="M189" s="11">
        <f>IF(A189="","",IF(I189="Réalisé",ROUND(H189*J189,2),0))</f>
        <v/>
      </c>
      <c r="N189" s="11">
        <f>IF(A189="","",ROUND(M189*L189,2))</f>
        <v/>
      </c>
      <c r="O189" s="11">
        <f>IF(A189="","",ROUND(M189-N189,2))</f>
        <v/>
      </c>
      <c r="P189" s="8"/>
      <c r="Q189" s="8"/>
      <c r="R189" s="13">
        <f>IF(A189="","",IF(I189="Réalisé",H189,0))</f>
        <v/>
      </c>
      <c r="S189" s="9">
        <f>IF(A189="","",IF(COUNTIF($A$2:$A$301,A189)&gt;1,"DOUBLON RDV",IF(COUNTIF(Clients!$A$2:$A$51,C189)&lt;&gt;1,"Client à corriger",IF(COUNTIF(Services!$A$2:$A$4,E189)&lt;&gt;1,"Service à corriger",IF(OR(NOT(ISNUMBER(B189)),G189&lt;=0,H189&lt;0,COUNTIF(ListeStatuts,I189)&lt;&gt;1,COUNTIF(ListeFactures,P189)&lt;&gt;1),"Saisie à corriger",IF(AND(I189="Réalisé",OR(H189&lt;=0,B189&gt;Parametres!$B$7)),"Réalisation à vérifier",IF(AND(P189="Émise",OR(Q189="",I189&lt;&gt;"Réalisé")),"Facture à corriger",IF(AND(Q189&lt;&gt;"",COUNTIF($Q$2:$Q$301,Q189)&gt;1),"DOUBLON FACTURE",IF(AND(I189="Réalisé",ABS(G189-H189)&gt;0.001,T189=""),"Écart heures","OK")))))))))</f>
        <v/>
      </c>
      <c r="T189" s="8"/>
    </row>
    <row r="190" spans="1:20" ht="22" customHeight="1">
      <c r="A190" s="8"/>
      <c r="B190" s="6"/>
      <c r="C190" s="8"/>
      <c r="D190" s="9">
        <f>IF(C190="","",IFERROR(VLOOKUP(C190,Clients!$A$2:$M$51,12,FALSE),"CLIENT INCONNU"))</f>
        <v/>
      </c>
      <c r="E190" s="8"/>
      <c r="F190" s="9">
        <f>IF(E190="","",IFERROR(VLOOKUP(E190,Services!$A$2:$D$4,2,FALSE),"SERVICE INCONNU"))</f>
        <v/>
      </c>
      <c r="G190" s="8"/>
      <c r="H190" s="8"/>
      <c r="I190" s="8"/>
      <c r="J190" s="11">
        <f>IF(E190="","",IFERROR(VLOOKUP(E190,Services!$A$2:$D$4,3,FALSE),0))</f>
        <v/>
      </c>
      <c r="K190" s="9">
        <f>IF(C190="","",IFERROR(VLOOKUP(C190,Clients!$A$2:$M$51,11,FALSE),"Non"))</f>
        <v/>
      </c>
      <c r="L190" s="12">
        <f>IF(A190="","",IF(I190&lt;&gt;"Réalisé",0,IF(E190&lt;&gt;"Sexologie",0,IF(K190&lt;&gt;"Oui",0,IF(AND(B190&gt;=Parametres!$B$2,B190&lt;=Parametres!$B$3),Parametres!$B$5,0)))))</f>
        <v/>
      </c>
      <c r="M190" s="11">
        <f>IF(A190="","",IF(I190="Réalisé",ROUND(H190*J190,2),0))</f>
        <v/>
      </c>
      <c r="N190" s="11">
        <f>IF(A190="","",ROUND(M190*L190,2))</f>
        <v/>
      </c>
      <c r="O190" s="11">
        <f>IF(A190="","",ROUND(M190-N190,2))</f>
        <v/>
      </c>
      <c r="P190" s="8"/>
      <c r="Q190" s="8"/>
      <c r="R190" s="13">
        <f>IF(A190="","",IF(I190="Réalisé",H190,0))</f>
        <v/>
      </c>
      <c r="S190" s="9">
        <f>IF(A190="","",IF(COUNTIF($A$2:$A$301,A190)&gt;1,"DOUBLON RDV",IF(COUNTIF(Clients!$A$2:$A$51,C190)&lt;&gt;1,"Client à corriger",IF(COUNTIF(Services!$A$2:$A$4,E190)&lt;&gt;1,"Service à corriger",IF(OR(NOT(ISNUMBER(B190)),G190&lt;=0,H190&lt;0,COUNTIF(ListeStatuts,I190)&lt;&gt;1,COUNTIF(ListeFactures,P190)&lt;&gt;1),"Saisie à corriger",IF(AND(I190="Réalisé",OR(H190&lt;=0,B190&gt;Parametres!$B$7)),"Réalisation à vérifier",IF(AND(P190="Émise",OR(Q190="",I190&lt;&gt;"Réalisé")),"Facture à corriger",IF(AND(Q190&lt;&gt;"",COUNTIF($Q$2:$Q$301,Q190)&gt;1),"DOUBLON FACTURE",IF(AND(I190="Réalisé",ABS(G190-H190)&gt;0.001,T190=""),"Écart heures","OK")))))))))</f>
        <v/>
      </c>
      <c r="T190" s="8"/>
    </row>
    <row r="191" spans="1:20" ht="22" customHeight="1">
      <c r="A191" s="8"/>
      <c r="B191" s="6"/>
      <c r="C191" s="8"/>
      <c r="D191" s="9">
        <f>IF(C191="","",IFERROR(VLOOKUP(C191,Clients!$A$2:$M$51,12,FALSE),"CLIENT INCONNU"))</f>
        <v/>
      </c>
      <c r="E191" s="8"/>
      <c r="F191" s="9">
        <f>IF(E191="","",IFERROR(VLOOKUP(E191,Services!$A$2:$D$4,2,FALSE),"SERVICE INCONNU"))</f>
        <v/>
      </c>
      <c r="G191" s="8"/>
      <c r="H191" s="8"/>
      <c r="I191" s="8"/>
      <c r="J191" s="11">
        <f>IF(E191="","",IFERROR(VLOOKUP(E191,Services!$A$2:$D$4,3,FALSE),0))</f>
        <v/>
      </c>
      <c r="K191" s="9">
        <f>IF(C191="","",IFERROR(VLOOKUP(C191,Clients!$A$2:$M$51,11,FALSE),"Non"))</f>
        <v/>
      </c>
      <c r="L191" s="12">
        <f>IF(A191="","",IF(I191&lt;&gt;"Réalisé",0,IF(E191&lt;&gt;"Sexologie",0,IF(K191&lt;&gt;"Oui",0,IF(AND(B191&gt;=Parametres!$B$2,B191&lt;=Parametres!$B$3),Parametres!$B$5,0)))))</f>
        <v/>
      </c>
      <c r="M191" s="11">
        <f>IF(A191="","",IF(I191="Réalisé",ROUND(H191*J191,2),0))</f>
        <v/>
      </c>
      <c r="N191" s="11">
        <f>IF(A191="","",ROUND(M191*L191,2))</f>
        <v/>
      </c>
      <c r="O191" s="11">
        <f>IF(A191="","",ROUND(M191-N191,2))</f>
        <v/>
      </c>
      <c r="P191" s="8"/>
      <c r="Q191" s="8"/>
      <c r="R191" s="13">
        <f>IF(A191="","",IF(I191="Réalisé",H191,0))</f>
        <v/>
      </c>
      <c r="S191" s="9">
        <f>IF(A191="","",IF(COUNTIF($A$2:$A$301,A191)&gt;1,"DOUBLON RDV",IF(COUNTIF(Clients!$A$2:$A$51,C191)&lt;&gt;1,"Client à corriger",IF(COUNTIF(Services!$A$2:$A$4,E191)&lt;&gt;1,"Service à corriger",IF(OR(NOT(ISNUMBER(B191)),G191&lt;=0,H191&lt;0,COUNTIF(ListeStatuts,I191)&lt;&gt;1,COUNTIF(ListeFactures,P191)&lt;&gt;1),"Saisie à corriger",IF(AND(I191="Réalisé",OR(H191&lt;=0,B191&gt;Parametres!$B$7)),"Réalisation à vérifier",IF(AND(P191="Émise",OR(Q191="",I191&lt;&gt;"Réalisé")),"Facture à corriger",IF(AND(Q191&lt;&gt;"",COUNTIF($Q$2:$Q$301,Q191)&gt;1),"DOUBLON FACTURE",IF(AND(I191="Réalisé",ABS(G191-H191)&gt;0.001,T191=""),"Écart heures","OK")))))))))</f>
        <v/>
      </c>
      <c r="T191" s="8"/>
    </row>
    <row r="192" spans="1:20" ht="22" customHeight="1">
      <c r="A192" s="8"/>
      <c r="B192" s="6"/>
      <c r="C192" s="8"/>
      <c r="D192" s="9">
        <f>IF(C192="","",IFERROR(VLOOKUP(C192,Clients!$A$2:$M$51,12,FALSE),"CLIENT INCONNU"))</f>
        <v/>
      </c>
      <c r="E192" s="8"/>
      <c r="F192" s="9">
        <f>IF(E192="","",IFERROR(VLOOKUP(E192,Services!$A$2:$D$4,2,FALSE),"SERVICE INCONNU"))</f>
        <v/>
      </c>
      <c r="G192" s="8"/>
      <c r="H192" s="8"/>
      <c r="I192" s="8"/>
      <c r="J192" s="11">
        <f>IF(E192="","",IFERROR(VLOOKUP(E192,Services!$A$2:$D$4,3,FALSE),0))</f>
        <v/>
      </c>
      <c r="K192" s="9">
        <f>IF(C192="","",IFERROR(VLOOKUP(C192,Clients!$A$2:$M$51,11,FALSE),"Non"))</f>
        <v/>
      </c>
      <c r="L192" s="12">
        <f>IF(A192="","",IF(I192&lt;&gt;"Réalisé",0,IF(E192&lt;&gt;"Sexologie",0,IF(K192&lt;&gt;"Oui",0,IF(AND(B192&gt;=Parametres!$B$2,B192&lt;=Parametres!$B$3),Parametres!$B$5,0)))))</f>
        <v/>
      </c>
      <c r="M192" s="11">
        <f>IF(A192="","",IF(I192="Réalisé",ROUND(H192*J192,2),0))</f>
        <v/>
      </c>
      <c r="N192" s="11">
        <f>IF(A192="","",ROUND(M192*L192,2))</f>
        <v/>
      </c>
      <c r="O192" s="11">
        <f>IF(A192="","",ROUND(M192-N192,2))</f>
        <v/>
      </c>
      <c r="P192" s="8"/>
      <c r="Q192" s="8"/>
      <c r="R192" s="13">
        <f>IF(A192="","",IF(I192="Réalisé",H192,0))</f>
        <v/>
      </c>
      <c r="S192" s="9">
        <f>IF(A192="","",IF(COUNTIF($A$2:$A$301,A192)&gt;1,"DOUBLON RDV",IF(COUNTIF(Clients!$A$2:$A$51,C192)&lt;&gt;1,"Client à corriger",IF(COUNTIF(Services!$A$2:$A$4,E192)&lt;&gt;1,"Service à corriger",IF(OR(NOT(ISNUMBER(B192)),G192&lt;=0,H192&lt;0,COUNTIF(ListeStatuts,I192)&lt;&gt;1,COUNTIF(ListeFactures,P192)&lt;&gt;1),"Saisie à corriger",IF(AND(I192="Réalisé",OR(H192&lt;=0,B192&gt;Parametres!$B$7)),"Réalisation à vérifier",IF(AND(P192="Émise",OR(Q192="",I192&lt;&gt;"Réalisé")),"Facture à corriger",IF(AND(Q192&lt;&gt;"",COUNTIF($Q$2:$Q$301,Q192)&gt;1),"DOUBLON FACTURE",IF(AND(I192="Réalisé",ABS(G192-H192)&gt;0.001,T192=""),"Écart heures","OK")))))))))</f>
        <v/>
      </c>
      <c r="T192" s="8"/>
    </row>
    <row r="193" spans="1:20" ht="22" customHeight="1">
      <c r="A193" s="8"/>
      <c r="B193" s="6"/>
      <c r="C193" s="8"/>
      <c r="D193" s="9">
        <f>IF(C193="","",IFERROR(VLOOKUP(C193,Clients!$A$2:$M$51,12,FALSE),"CLIENT INCONNU"))</f>
        <v/>
      </c>
      <c r="E193" s="8"/>
      <c r="F193" s="9">
        <f>IF(E193="","",IFERROR(VLOOKUP(E193,Services!$A$2:$D$4,2,FALSE),"SERVICE INCONNU"))</f>
        <v/>
      </c>
      <c r="G193" s="8"/>
      <c r="H193" s="8"/>
      <c r="I193" s="8"/>
      <c r="J193" s="11">
        <f>IF(E193="","",IFERROR(VLOOKUP(E193,Services!$A$2:$D$4,3,FALSE),0))</f>
        <v/>
      </c>
      <c r="K193" s="9">
        <f>IF(C193="","",IFERROR(VLOOKUP(C193,Clients!$A$2:$M$51,11,FALSE),"Non"))</f>
        <v/>
      </c>
      <c r="L193" s="12">
        <f>IF(A193="","",IF(I193&lt;&gt;"Réalisé",0,IF(E193&lt;&gt;"Sexologie",0,IF(K193&lt;&gt;"Oui",0,IF(AND(B193&gt;=Parametres!$B$2,B193&lt;=Parametres!$B$3),Parametres!$B$5,0)))))</f>
        <v/>
      </c>
      <c r="M193" s="11">
        <f>IF(A193="","",IF(I193="Réalisé",ROUND(H193*J193,2),0))</f>
        <v/>
      </c>
      <c r="N193" s="11">
        <f>IF(A193="","",ROUND(M193*L193,2))</f>
        <v/>
      </c>
      <c r="O193" s="11">
        <f>IF(A193="","",ROUND(M193-N193,2))</f>
        <v/>
      </c>
      <c r="P193" s="8"/>
      <c r="Q193" s="8"/>
      <c r="R193" s="13">
        <f>IF(A193="","",IF(I193="Réalisé",H193,0))</f>
        <v/>
      </c>
      <c r="S193" s="9">
        <f>IF(A193="","",IF(COUNTIF($A$2:$A$301,A193)&gt;1,"DOUBLON RDV",IF(COUNTIF(Clients!$A$2:$A$51,C193)&lt;&gt;1,"Client à corriger",IF(COUNTIF(Services!$A$2:$A$4,E193)&lt;&gt;1,"Service à corriger",IF(OR(NOT(ISNUMBER(B193)),G193&lt;=0,H193&lt;0,COUNTIF(ListeStatuts,I193)&lt;&gt;1,COUNTIF(ListeFactures,P193)&lt;&gt;1),"Saisie à corriger",IF(AND(I193="Réalisé",OR(H193&lt;=0,B193&gt;Parametres!$B$7)),"Réalisation à vérifier",IF(AND(P193="Émise",OR(Q193="",I193&lt;&gt;"Réalisé")),"Facture à corriger",IF(AND(Q193&lt;&gt;"",COUNTIF($Q$2:$Q$301,Q193)&gt;1),"DOUBLON FACTURE",IF(AND(I193="Réalisé",ABS(G193-H193)&gt;0.001,T193=""),"Écart heures","OK")))))))))</f>
        <v/>
      </c>
      <c r="T193" s="8"/>
    </row>
    <row r="194" spans="1:20" ht="22" customHeight="1">
      <c r="A194" s="8"/>
      <c r="B194" s="6"/>
      <c r="C194" s="8"/>
      <c r="D194" s="9">
        <f>IF(C194="","",IFERROR(VLOOKUP(C194,Clients!$A$2:$M$51,12,FALSE),"CLIENT INCONNU"))</f>
        <v/>
      </c>
      <c r="E194" s="8"/>
      <c r="F194" s="9">
        <f>IF(E194="","",IFERROR(VLOOKUP(E194,Services!$A$2:$D$4,2,FALSE),"SERVICE INCONNU"))</f>
        <v/>
      </c>
      <c r="G194" s="8"/>
      <c r="H194" s="8"/>
      <c r="I194" s="8"/>
      <c r="J194" s="11">
        <f>IF(E194="","",IFERROR(VLOOKUP(E194,Services!$A$2:$D$4,3,FALSE),0))</f>
        <v/>
      </c>
      <c r="K194" s="9">
        <f>IF(C194="","",IFERROR(VLOOKUP(C194,Clients!$A$2:$M$51,11,FALSE),"Non"))</f>
        <v/>
      </c>
      <c r="L194" s="12">
        <f>IF(A194="","",IF(I194&lt;&gt;"Réalisé",0,IF(E194&lt;&gt;"Sexologie",0,IF(K194&lt;&gt;"Oui",0,IF(AND(B194&gt;=Parametres!$B$2,B194&lt;=Parametres!$B$3),Parametres!$B$5,0)))))</f>
        <v/>
      </c>
      <c r="M194" s="11">
        <f>IF(A194="","",IF(I194="Réalisé",ROUND(H194*J194,2),0))</f>
        <v/>
      </c>
      <c r="N194" s="11">
        <f>IF(A194="","",ROUND(M194*L194,2))</f>
        <v/>
      </c>
      <c r="O194" s="11">
        <f>IF(A194="","",ROUND(M194-N194,2))</f>
        <v/>
      </c>
      <c r="P194" s="8"/>
      <c r="Q194" s="8"/>
      <c r="R194" s="13">
        <f>IF(A194="","",IF(I194="Réalisé",H194,0))</f>
        <v/>
      </c>
      <c r="S194" s="9">
        <f>IF(A194="","",IF(COUNTIF($A$2:$A$301,A194)&gt;1,"DOUBLON RDV",IF(COUNTIF(Clients!$A$2:$A$51,C194)&lt;&gt;1,"Client à corriger",IF(COUNTIF(Services!$A$2:$A$4,E194)&lt;&gt;1,"Service à corriger",IF(OR(NOT(ISNUMBER(B194)),G194&lt;=0,H194&lt;0,COUNTIF(ListeStatuts,I194)&lt;&gt;1,COUNTIF(ListeFactures,P194)&lt;&gt;1),"Saisie à corriger",IF(AND(I194="Réalisé",OR(H194&lt;=0,B194&gt;Parametres!$B$7)),"Réalisation à vérifier",IF(AND(P194="Émise",OR(Q194="",I194&lt;&gt;"Réalisé")),"Facture à corriger",IF(AND(Q194&lt;&gt;"",COUNTIF($Q$2:$Q$301,Q194)&gt;1),"DOUBLON FACTURE",IF(AND(I194="Réalisé",ABS(G194-H194)&gt;0.001,T194=""),"Écart heures","OK")))))))))</f>
        <v/>
      </c>
      <c r="T194" s="8"/>
    </row>
    <row r="195" spans="1:20" ht="22" customHeight="1">
      <c r="A195" s="8"/>
      <c r="B195" s="6"/>
      <c r="C195" s="8"/>
      <c r="D195" s="9">
        <f>IF(C195="","",IFERROR(VLOOKUP(C195,Clients!$A$2:$M$51,12,FALSE),"CLIENT INCONNU"))</f>
        <v/>
      </c>
      <c r="E195" s="8"/>
      <c r="F195" s="9">
        <f>IF(E195="","",IFERROR(VLOOKUP(E195,Services!$A$2:$D$4,2,FALSE),"SERVICE INCONNU"))</f>
        <v/>
      </c>
      <c r="G195" s="8"/>
      <c r="H195" s="8"/>
      <c r="I195" s="8"/>
      <c r="J195" s="11">
        <f>IF(E195="","",IFERROR(VLOOKUP(E195,Services!$A$2:$D$4,3,FALSE),0))</f>
        <v/>
      </c>
      <c r="K195" s="9">
        <f>IF(C195="","",IFERROR(VLOOKUP(C195,Clients!$A$2:$M$51,11,FALSE),"Non"))</f>
        <v/>
      </c>
      <c r="L195" s="12">
        <f>IF(A195="","",IF(I195&lt;&gt;"Réalisé",0,IF(E195&lt;&gt;"Sexologie",0,IF(K195&lt;&gt;"Oui",0,IF(AND(B195&gt;=Parametres!$B$2,B195&lt;=Parametres!$B$3),Parametres!$B$5,0)))))</f>
        <v/>
      </c>
      <c r="M195" s="11">
        <f>IF(A195="","",IF(I195="Réalisé",ROUND(H195*J195,2),0))</f>
        <v/>
      </c>
      <c r="N195" s="11">
        <f>IF(A195="","",ROUND(M195*L195,2))</f>
        <v/>
      </c>
      <c r="O195" s="11">
        <f>IF(A195="","",ROUND(M195-N195,2))</f>
        <v/>
      </c>
      <c r="P195" s="8"/>
      <c r="Q195" s="8"/>
      <c r="R195" s="13">
        <f>IF(A195="","",IF(I195="Réalisé",H195,0))</f>
        <v/>
      </c>
      <c r="S195" s="9">
        <f>IF(A195="","",IF(COUNTIF($A$2:$A$301,A195)&gt;1,"DOUBLON RDV",IF(COUNTIF(Clients!$A$2:$A$51,C195)&lt;&gt;1,"Client à corriger",IF(COUNTIF(Services!$A$2:$A$4,E195)&lt;&gt;1,"Service à corriger",IF(OR(NOT(ISNUMBER(B195)),G195&lt;=0,H195&lt;0,COUNTIF(ListeStatuts,I195)&lt;&gt;1,COUNTIF(ListeFactures,P195)&lt;&gt;1),"Saisie à corriger",IF(AND(I195="Réalisé",OR(H195&lt;=0,B195&gt;Parametres!$B$7)),"Réalisation à vérifier",IF(AND(P195="Émise",OR(Q195="",I195&lt;&gt;"Réalisé")),"Facture à corriger",IF(AND(Q195&lt;&gt;"",COUNTIF($Q$2:$Q$301,Q195)&gt;1),"DOUBLON FACTURE",IF(AND(I195="Réalisé",ABS(G195-H195)&gt;0.001,T195=""),"Écart heures","OK")))))))))</f>
        <v/>
      </c>
      <c r="T195" s="8"/>
    </row>
    <row r="196" spans="1:20" ht="22" customHeight="1">
      <c r="A196" s="8"/>
      <c r="B196" s="6"/>
      <c r="C196" s="8"/>
      <c r="D196" s="9">
        <f>IF(C196="","",IFERROR(VLOOKUP(C196,Clients!$A$2:$M$51,12,FALSE),"CLIENT INCONNU"))</f>
        <v/>
      </c>
      <c r="E196" s="8"/>
      <c r="F196" s="9">
        <f>IF(E196="","",IFERROR(VLOOKUP(E196,Services!$A$2:$D$4,2,FALSE),"SERVICE INCONNU"))</f>
        <v/>
      </c>
      <c r="G196" s="8"/>
      <c r="H196" s="8"/>
      <c r="I196" s="8"/>
      <c r="J196" s="11">
        <f>IF(E196="","",IFERROR(VLOOKUP(E196,Services!$A$2:$D$4,3,FALSE),0))</f>
        <v/>
      </c>
      <c r="K196" s="9">
        <f>IF(C196="","",IFERROR(VLOOKUP(C196,Clients!$A$2:$M$51,11,FALSE),"Non"))</f>
        <v/>
      </c>
      <c r="L196" s="12">
        <f>IF(A196="","",IF(I196&lt;&gt;"Réalisé",0,IF(E196&lt;&gt;"Sexologie",0,IF(K196&lt;&gt;"Oui",0,IF(AND(B196&gt;=Parametres!$B$2,B196&lt;=Parametres!$B$3),Parametres!$B$5,0)))))</f>
        <v/>
      </c>
      <c r="M196" s="11">
        <f>IF(A196="","",IF(I196="Réalisé",ROUND(H196*J196,2),0))</f>
        <v/>
      </c>
      <c r="N196" s="11">
        <f>IF(A196="","",ROUND(M196*L196,2))</f>
        <v/>
      </c>
      <c r="O196" s="11">
        <f>IF(A196="","",ROUND(M196-N196,2))</f>
        <v/>
      </c>
      <c r="P196" s="8"/>
      <c r="Q196" s="8"/>
      <c r="R196" s="13">
        <f>IF(A196="","",IF(I196="Réalisé",H196,0))</f>
        <v/>
      </c>
      <c r="S196" s="9">
        <f>IF(A196="","",IF(COUNTIF($A$2:$A$301,A196)&gt;1,"DOUBLON RDV",IF(COUNTIF(Clients!$A$2:$A$51,C196)&lt;&gt;1,"Client à corriger",IF(COUNTIF(Services!$A$2:$A$4,E196)&lt;&gt;1,"Service à corriger",IF(OR(NOT(ISNUMBER(B196)),G196&lt;=0,H196&lt;0,COUNTIF(ListeStatuts,I196)&lt;&gt;1,COUNTIF(ListeFactures,P196)&lt;&gt;1),"Saisie à corriger",IF(AND(I196="Réalisé",OR(H196&lt;=0,B196&gt;Parametres!$B$7)),"Réalisation à vérifier",IF(AND(P196="Émise",OR(Q196="",I196&lt;&gt;"Réalisé")),"Facture à corriger",IF(AND(Q196&lt;&gt;"",COUNTIF($Q$2:$Q$301,Q196)&gt;1),"DOUBLON FACTURE",IF(AND(I196="Réalisé",ABS(G196-H196)&gt;0.001,T196=""),"Écart heures","OK")))))))))</f>
        <v/>
      </c>
      <c r="T196" s="8"/>
    </row>
    <row r="197" spans="1:20" ht="22" customHeight="1">
      <c r="A197" s="8"/>
      <c r="B197" s="6"/>
      <c r="C197" s="8"/>
      <c r="D197" s="9">
        <f>IF(C197="","",IFERROR(VLOOKUP(C197,Clients!$A$2:$M$51,12,FALSE),"CLIENT INCONNU"))</f>
        <v/>
      </c>
      <c r="E197" s="8"/>
      <c r="F197" s="9">
        <f>IF(E197="","",IFERROR(VLOOKUP(E197,Services!$A$2:$D$4,2,FALSE),"SERVICE INCONNU"))</f>
        <v/>
      </c>
      <c r="G197" s="8"/>
      <c r="H197" s="8"/>
      <c r="I197" s="8"/>
      <c r="J197" s="11">
        <f>IF(E197="","",IFERROR(VLOOKUP(E197,Services!$A$2:$D$4,3,FALSE),0))</f>
        <v/>
      </c>
      <c r="K197" s="9">
        <f>IF(C197="","",IFERROR(VLOOKUP(C197,Clients!$A$2:$M$51,11,FALSE),"Non"))</f>
        <v/>
      </c>
      <c r="L197" s="12">
        <f>IF(A197="","",IF(I197&lt;&gt;"Réalisé",0,IF(E197&lt;&gt;"Sexologie",0,IF(K197&lt;&gt;"Oui",0,IF(AND(B197&gt;=Parametres!$B$2,B197&lt;=Parametres!$B$3),Parametres!$B$5,0)))))</f>
        <v/>
      </c>
      <c r="M197" s="11">
        <f>IF(A197="","",IF(I197="Réalisé",ROUND(H197*J197,2),0))</f>
        <v/>
      </c>
      <c r="N197" s="11">
        <f>IF(A197="","",ROUND(M197*L197,2))</f>
        <v/>
      </c>
      <c r="O197" s="11">
        <f>IF(A197="","",ROUND(M197-N197,2))</f>
        <v/>
      </c>
      <c r="P197" s="8"/>
      <c r="Q197" s="8"/>
      <c r="R197" s="13">
        <f>IF(A197="","",IF(I197="Réalisé",H197,0))</f>
        <v/>
      </c>
      <c r="S197" s="9">
        <f>IF(A197="","",IF(COUNTIF($A$2:$A$301,A197)&gt;1,"DOUBLON RDV",IF(COUNTIF(Clients!$A$2:$A$51,C197)&lt;&gt;1,"Client à corriger",IF(COUNTIF(Services!$A$2:$A$4,E197)&lt;&gt;1,"Service à corriger",IF(OR(NOT(ISNUMBER(B197)),G197&lt;=0,H197&lt;0,COUNTIF(ListeStatuts,I197)&lt;&gt;1,COUNTIF(ListeFactures,P197)&lt;&gt;1),"Saisie à corriger",IF(AND(I197="Réalisé",OR(H197&lt;=0,B197&gt;Parametres!$B$7)),"Réalisation à vérifier",IF(AND(P197="Émise",OR(Q197="",I197&lt;&gt;"Réalisé")),"Facture à corriger",IF(AND(Q197&lt;&gt;"",COUNTIF($Q$2:$Q$301,Q197)&gt;1),"DOUBLON FACTURE",IF(AND(I197="Réalisé",ABS(G197-H197)&gt;0.001,T197=""),"Écart heures","OK")))))))))</f>
        <v/>
      </c>
      <c r="T197" s="8"/>
    </row>
    <row r="198" spans="1:20" ht="22" customHeight="1">
      <c r="A198" s="8"/>
      <c r="B198" s="6"/>
      <c r="C198" s="8"/>
      <c r="D198" s="9">
        <f>IF(C198="","",IFERROR(VLOOKUP(C198,Clients!$A$2:$M$51,12,FALSE),"CLIENT INCONNU"))</f>
        <v/>
      </c>
      <c r="E198" s="8"/>
      <c r="F198" s="9">
        <f>IF(E198="","",IFERROR(VLOOKUP(E198,Services!$A$2:$D$4,2,FALSE),"SERVICE INCONNU"))</f>
        <v/>
      </c>
      <c r="G198" s="8"/>
      <c r="H198" s="8"/>
      <c r="I198" s="8"/>
      <c r="J198" s="11">
        <f>IF(E198="","",IFERROR(VLOOKUP(E198,Services!$A$2:$D$4,3,FALSE),0))</f>
        <v/>
      </c>
      <c r="K198" s="9">
        <f>IF(C198="","",IFERROR(VLOOKUP(C198,Clients!$A$2:$M$51,11,FALSE),"Non"))</f>
        <v/>
      </c>
      <c r="L198" s="12">
        <f>IF(A198="","",IF(I198&lt;&gt;"Réalisé",0,IF(E198&lt;&gt;"Sexologie",0,IF(K198&lt;&gt;"Oui",0,IF(AND(B198&gt;=Parametres!$B$2,B198&lt;=Parametres!$B$3),Parametres!$B$5,0)))))</f>
        <v/>
      </c>
      <c r="M198" s="11">
        <f>IF(A198="","",IF(I198="Réalisé",ROUND(H198*J198,2),0))</f>
        <v/>
      </c>
      <c r="N198" s="11">
        <f>IF(A198="","",ROUND(M198*L198,2))</f>
        <v/>
      </c>
      <c r="O198" s="11">
        <f>IF(A198="","",ROUND(M198-N198,2))</f>
        <v/>
      </c>
      <c r="P198" s="8"/>
      <c r="Q198" s="8"/>
      <c r="R198" s="13">
        <f>IF(A198="","",IF(I198="Réalisé",H198,0))</f>
        <v/>
      </c>
      <c r="S198" s="9">
        <f>IF(A198="","",IF(COUNTIF($A$2:$A$301,A198)&gt;1,"DOUBLON RDV",IF(COUNTIF(Clients!$A$2:$A$51,C198)&lt;&gt;1,"Client à corriger",IF(COUNTIF(Services!$A$2:$A$4,E198)&lt;&gt;1,"Service à corriger",IF(OR(NOT(ISNUMBER(B198)),G198&lt;=0,H198&lt;0,COUNTIF(ListeStatuts,I198)&lt;&gt;1,COUNTIF(ListeFactures,P198)&lt;&gt;1),"Saisie à corriger",IF(AND(I198="Réalisé",OR(H198&lt;=0,B198&gt;Parametres!$B$7)),"Réalisation à vérifier",IF(AND(P198="Émise",OR(Q198="",I198&lt;&gt;"Réalisé")),"Facture à corriger",IF(AND(Q198&lt;&gt;"",COUNTIF($Q$2:$Q$301,Q198)&gt;1),"DOUBLON FACTURE",IF(AND(I198="Réalisé",ABS(G198-H198)&gt;0.001,T198=""),"Écart heures","OK")))))))))</f>
        <v/>
      </c>
      <c r="T198" s="8"/>
    </row>
    <row r="199" spans="1:20" ht="22" customHeight="1">
      <c r="A199" s="8"/>
      <c r="B199" s="6"/>
      <c r="C199" s="8"/>
      <c r="D199" s="9">
        <f>IF(C199="","",IFERROR(VLOOKUP(C199,Clients!$A$2:$M$51,12,FALSE),"CLIENT INCONNU"))</f>
        <v/>
      </c>
      <c r="E199" s="8"/>
      <c r="F199" s="9">
        <f>IF(E199="","",IFERROR(VLOOKUP(E199,Services!$A$2:$D$4,2,FALSE),"SERVICE INCONNU"))</f>
        <v/>
      </c>
      <c r="G199" s="8"/>
      <c r="H199" s="8"/>
      <c r="I199" s="8"/>
      <c r="J199" s="11">
        <f>IF(E199="","",IFERROR(VLOOKUP(E199,Services!$A$2:$D$4,3,FALSE),0))</f>
        <v/>
      </c>
      <c r="K199" s="9">
        <f>IF(C199="","",IFERROR(VLOOKUP(C199,Clients!$A$2:$M$51,11,FALSE),"Non"))</f>
        <v/>
      </c>
      <c r="L199" s="12">
        <f>IF(A199="","",IF(I199&lt;&gt;"Réalisé",0,IF(E199&lt;&gt;"Sexologie",0,IF(K199&lt;&gt;"Oui",0,IF(AND(B199&gt;=Parametres!$B$2,B199&lt;=Parametres!$B$3),Parametres!$B$5,0)))))</f>
        <v/>
      </c>
      <c r="M199" s="11">
        <f>IF(A199="","",IF(I199="Réalisé",ROUND(H199*J199,2),0))</f>
        <v/>
      </c>
      <c r="N199" s="11">
        <f>IF(A199="","",ROUND(M199*L199,2))</f>
        <v/>
      </c>
      <c r="O199" s="11">
        <f>IF(A199="","",ROUND(M199-N199,2))</f>
        <v/>
      </c>
      <c r="P199" s="8"/>
      <c r="Q199" s="8"/>
      <c r="R199" s="13">
        <f>IF(A199="","",IF(I199="Réalisé",H199,0))</f>
        <v/>
      </c>
      <c r="S199" s="9">
        <f>IF(A199="","",IF(COUNTIF($A$2:$A$301,A199)&gt;1,"DOUBLON RDV",IF(COUNTIF(Clients!$A$2:$A$51,C199)&lt;&gt;1,"Client à corriger",IF(COUNTIF(Services!$A$2:$A$4,E199)&lt;&gt;1,"Service à corriger",IF(OR(NOT(ISNUMBER(B199)),G199&lt;=0,H199&lt;0,COUNTIF(ListeStatuts,I199)&lt;&gt;1,COUNTIF(ListeFactures,P199)&lt;&gt;1),"Saisie à corriger",IF(AND(I199="Réalisé",OR(H199&lt;=0,B199&gt;Parametres!$B$7)),"Réalisation à vérifier",IF(AND(P199="Émise",OR(Q199="",I199&lt;&gt;"Réalisé")),"Facture à corriger",IF(AND(Q199&lt;&gt;"",COUNTIF($Q$2:$Q$301,Q199)&gt;1),"DOUBLON FACTURE",IF(AND(I199="Réalisé",ABS(G199-H199)&gt;0.001,T199=""),"Écart heures","OK")))))))))</f>
        <v/>
      </c>
      <c r="T199" s="8"/>
    </row>
    <row r="200" spans="1:20" ht="22" customHeight="1">
      <c r="A200" s="8"/>
      <c r="B200" s="6"/>
      <c r="C200" s="8"/>
      <c r="D200" s="9">
        <f>IF(C200="","",IFERROR(VLOOKUP(C200,Clients!$A$2:$M$51,12,FALSE),"CLIENT INCONNU"))</f>
        <v/>
      </c>
      <c r="E200" s="8"/>
      <c r="F200" s="9">
        <f>IF(E200="","",IFERROR(VLOOKUP(E200,Services!$A$2:$D$4,2,FALSE),"SERVICE INCONNU"))</f>
        <v/>
      </c>
      <c r="G200" s="8"/>
      <c r="H200" s="8"/>
      <c r="I200" s="8"/>
      <c r="J200" s="11">
        <f>IF(E200="","",IFERROR(VLOOKUP(E200,Services!$A$2:$D$4,3,FALSE),0))</f>
        <v/>
      </c>
      <c r="K200" s="9">
        <f>IF(C200="","",IFERROR(VLOOKUP(C200,Clients!$A$2:$M$51,11,FALSE),"Non"))</f>
        <v/>
      </c>
      <c r="L200" s="12">
        <f>IF(A200="","",IF(I200&lt;&gt;"Réalisé",0,IF(E200&lt;&gt;"Sexologie",0,IF(K200&lt;&gt;"Oui",0,IF(AND(B200&gt;=Parametres!$B$2,B200&lt;=Parametres!$B$3),Parametres!$B$5,0)))))</f>
        <v/>
      </c>
      <c r="M200" s="11">
        <f>IF(A200="","",IF(I200="Réalisé",ROUND(H200*J200,2),0))</f>
        <v/>
      </c>
      <c r="N200" s="11">
        <f>IF(A200="","",ROUND(M200*L200,2))</f>
        <v/>
      </c>
      <c r="O200" s="11">
        <f>IF(A200="","",ROUND(M200-N200,2))</f>
        <v/>
      </c>
      <c r="P200" s="8"/>
      <c r="Q200" s="8"/>
      <c r="R200" s="13">
        <f>IF(A200="","",IF(I200="Réalisé",H200,0))</f>
        <v/>
      </c>
      <c r="S200" s="9">
        <f>IF(A200="","",IF(COUNTIF($A$2:$A$301,A200)&gt;1,"DOUBLON RDV",IF(COUNTIF(Clients!$A$2:$A$51,C200)&lt;&gt;1,"Client à corriger",IF(COUNTIF(Services!$A$2:$A$4,E200)&lt;&gt;1,"Service à corriger",IF(OR(NOT(ISNUMBER(B200)),G200&lt;=0,H200&lt;0,COUNTIF(ListeStatuts,I200)&lt;&gt;1,COUNTIF(ListeFactures,P200)&lt;&gt;1),"Saisie à corriger",IF(AND(I200="Réalisé",OR(H200&lt;=0,B200&gt;Parametres!$B$7)),"Réalisation à vérifier",IF(AND(P200="Émise",OR(Q200="",I200&lt;&gt;"Réalisé")),"Facture à corriger",IF(AND(Q200&lt;&gt;"",COUNTIF($Q$2:$Q$301,Q200)&gt;1),"DOUBLON FACTURE",IF(AND(I200="Réalisé",ABS(G200-H200)&gt;0.001,T200=""),"Écart heures","OK")))))))))</f>
        <v/>
      </c>
      <c r="T200" s="8"/>
    </row>
    <row r="201" spans="1:20" ht="22" customHeight="1">
      <c r="A201" s="8"/>
      <c r="B201" s="6"/>
      <c r="C201" s="8"/>
      <c r="D201" s="9">
        <f>IF(C201="","",IFERROR(VLOOKUP(C201,Clients!$A$2:$M$51,12,FALSE),"CLIENT INCONNU"))</f>
        <v/>
      </c>
      <c r="E201" s="8"/>
      <c r="F201" s="9">
        <f>IF(E201="","",IFERROR(VLOOKUP(E201,Services!$A$2:$D$4,2,FALSE),"SERVICE INCONNU"))</f>
        <v/>
      </c>
      <c r="G201" s="8"/>
      <c r="H201" s="8"/>
      <c r="I201" s="8"/>
      <c r="J201" s="11">
        <f>IF(E201="","",IFERROR(VLOOKUP(E201,Services!$A$2:$D$4,3,FALSE),0))</f>
        <v/>
      </c>
      <c r="K201" s="9">
        <f>IF(C201="","",IFERROR(VLOOKUP(C201,Clients!$A$2:$M$51,11,FALSE),"Non"))</f>
        <v/>
      </c>
      <c r="L201" s="12">
        <f>IF(A201="","",IF(I201&lt;&gt;"Réalisé",0,IF(E201&lt;&gt;"Sexologie",0,IF(K201&lt;&gt;"Oui",0,IF(AND(B201&gt;=Parametres!$B$2,B201&lt;=Parametres!$B$3),Parametres!$B$5,0)))))</f>
        <v/>
      </c>
      <c r="M201" s="11">
        <f>IF(A201="","",IF(I201="Réalisé",ROUND(H201*J201,2),0))</f>
        <v/>
      </c>
      <c r="N201" s="11">
        <f>IF(A201="","",ROUND(M201*L201,2))</f>
        <v/>
      </c>
      <c r="O201" s="11">
        <f>IF(A201="","",ROUND(M201-N201,2))</f>
        <v/>
      </c>
      <c r="P201" s="8"/>
      <c r="Q201" s="8"/>
      <c r="R201" s="13">
        <f>IF(A201="","",IF(I201="Réalisé",H201,0))</f>
        <v/>
      </c>
      <c r="S201" s="9">
        <f>IF(A201="","",IF(COUNTIF($A$2:$A$301,A201)&gt;1,"DOUBLON RDV",IF(COUNTIF(Clients!$A$2:$A$51,C201)&lt;&gt;1,"Client à corriger",IF(COUNTIF(Services!$A$2:$A$4,E201)&lt;&gt;1,"Service à corriger",IF(OR(NOT(ISNUMBER(B201)),G201&lt;=0,H201&lt;0,COUNTIF(ListeStatuts,I201)&lt;&gt;1,COUNTIF(ListeFactures,P201)&lt;&gt;1),"Saisie à corriger",IF(AND(I201="Réalisé",OR(H201&lt;=0,B201&gt;Parametres!$B$7)),"Réalisation à vérifier",IF(AND(P201="Émise",OR(Q201="",I201&lt;&gt;"Réalisé")),"Facture à corriger",IF(AND(Q201&lt;&gt;"",COUNTIF($Q$2:$Q$301,Q201)&gt;1),"DOUBLON FACTURE",IF(AND(I201="Réalisé",ABS(G201-H201)&gt;0.001,T201=""),"Écart heures","OK")))))))))</f>
        <v/>
      </c>
      <c r="T201" s="8"/>
    </row>
    <row r="202" spans="1:20" ht="22" customHeight="1">
      <c r="A202" s="8"/>
      <c r="B202" s="6"/>
      <c r="C202" s="8"/>
      <c r="D202" s="9">
        <f>IF(C202="","",IFERROR(VLOOKUP(C202,Clients!$A$2:$M$51,12,FALSE),"CLIENT INCONNU"))</f>
        <v/>
      </c>
      <c r="E202" s="8"/>
      <c r="F202" s="9">
        <f>IF(E202="","",IFERROR(VLOOKUP(E202,Services!$A$2:$D$4,2,FALSE),"SERVICE INCONNU"))</f>
        <v/>
      </c>
      <c r="G202" s="8"/>
      <c r="H202" s="8"/>
      <c r="I202" s="8"/>
      <c r="J202" s="11">
        <f>IF(E202="","",IFERROR(VLOOKUP(E202,Services!$A$2:$D$4,3,FALSE),0))</f>
        <v/>
      </c>
      <c r="K202" s="9">
        <f>IF(C202="","",IFERROR(VLOOKUP(C202,Clients!$A$2:$M$51,11,FALSE),"Non"))</f>
        <v/>
      </c>
      <c r="L202" s="12">
        <f>IF(A202="","",IF(I202&lt;&gt;"Réalisé",0,IF(E202&lt;&gt;"Sexologie",0,IF(K202&lt;&gt;"Oui",0,IF(AND(B202&gt;=Parametres!$B$2,B202&lt;=Parametres!$B$3),Parametres!$B$5,0)))))</f>
        <v/>
      </c>
      <c r="M202" s="11">
        <f>IF(A202="","",IF(I202="Réalisé",ROUND(H202*J202,2),0))</f>
        <v/>
      </c>
      <c r="N202" s="11">
        <f>IF(A202="","",ROUND(M202*L202,2))</f>
        <v/>
      </c>
      <c r="O202" s="11">
        <f>IF(A202="","",ROUND(M202-N202,2))</f>
        <v/>
      </c>
      <c r="P202" s="8"/>
      <c r="Q202" s="8"/>
      <c r="R202" s="13">
        <f>IF(A202="","",IF(I202="Réalisé",H202,0))</f>
        <v/>
      </c>
      <c r="S202" s="9">
        <f>IF(A202="","",IF(COUNTIF($A$2:$A$301,A202)&gt;1,"DOUBLON RDV",IF(COUNTIF(Clients!$A$2:$A$51,C202)&lt;&gt;1,"Client à corriger",IF(COUNTIF(Services!$A$2:$A$4,E202)&lt;&gt;1,"Service à corriger",IF(OR(NOT(ISNUMBER(B202)),G202&lt;=0,H202&lt;0,COUNTIF(ListeStatuts,I202)&lt;&gt;1,COUNTIF(ListeFactures,P202)&lt;&gt;1),"Saisie à corriger",IF(AND(I202="Réalisé",OR(H202&lt;=0,B202&gt;Parametres!$B$7)),"Réalisation à vérifier",IF(AND(P202="Émise",OR(Q202="",I202&lt;&gt;"Réalisé")),"Facture à corriger",IF(AND(Q202&lt;&gt;"",COUNTIF($Q$2:$Q$301,Q202)&gt;1),"DOUBLON FACTURE",IF(AND(I202="Réalisé",ABS(G202-H202)&gt;0.001,T202=""),"Écart heures","OK")))))))))</f>
        <v/>
      </c>
      <c r="T202" s="8"/>
    </row>
    <row r="203" spans="1:20" ht="22" customHeight="1">
      <c r="A203" s="8"/>
      <c r="B203" s="6"/>
      <c r="C203" s="8"/>
      <c r="D203" s="9">
        <f>IF(C203="","",IFERROR(VLOOKUP(C203,Clients!$A$2:$M$51,12,FALSE),"CLIENT INCONNU"))</f>
        <v/>
      </c>
      <c r="E203" s="8"/>
      <c r="F203" s="9">
        <f>IF(E203="","",IFERROR(VLOOKUP(E203,Services!$A$2:$D$4,2,FALSE),"SERVICE INCONNU"))</f>
        <v/>
      </c>
      <c r="G203" s="8"/>
      <c r="H203" s="8"/>
      <c r="I203" s="8"/>
      <c r="J203" s="11">
        <f>IF(E203="","",IFERROR(VLOOKUP(E203,Services!$A$2:$D$4,3,FALSE),0))</f>
        <v/>
      </c>
      <c r="K203" s="9">
        <f>IF(C203="","",IFERROR(VLOOKUP(C203,Clients!$A$2:$M$51,11,FALSE),"Non"))</f>
        <v/>
      </c>
      <c r="L203" s="12">
        <f>IF(A203="","",IF(I203&lt;&gt;"Réalisé",0,IF(E203&lt;&gt;"Sexologie",0,IF(K203&lt;&gt;"Oui",0,IF(AND(B203&gt;=Parametres!$B$2,B203&lt;=Parametres!$B$3),Parametres!$B$5,0)))))</f>
        <v/>
      </c>
      <c r="M203" s="11">
        <f>IF(A203="","",IF(I203="Réalisé",ROUND(H203*J203,2),0))</f>
        <v/>
      </c>
      <c r="N203" s="11">
        <f>IF(A203="","",ROUND(M203*L203,2))</f>
        <v/>
      </c>
      <c r="O203" s="11">
        <f>IF(A203="","",ROUND(M203-N203,2))</f>
        <v/>
      </c>
      <c r="P203" s="8"/>
      <c r="Q203" s="8"/>
      <c r="R203" s="13">
        <f>IF(A203="","",IF(I203="Réalisé",H203,0))</f>
        <v/>
      </c>
      <c r="S203" s="9">
        <f>IF(A203="","",IF(COUNTIF($A$2:$A$301,A203)&gt;1,"DOUBLON RDV",IF(COUNTIF(Clients!$A$2:$A$51,C203)&lt;&gt;1,"Client à corriger",IF(COUNTIF(Services!$A$2:$A$4,E203)&lt;&gt;1,"Service à corriger",IF(OR(NOT(ISNUMBER(B203)),G203&lt;=0,H203&lt;0,COUNTIF(ListeStatuts,I203)&lt;&gt;1,COUNTIF(ListeFactures,P203)&lt;&gt;1),"Saisie à corriger",IF(AND(I203="Réalisé",OR(H203&lt;=0,B203&gt;Parametres!$B$7)),"Réalisation à vérifier",IF(AND(P203="Émise",OR(Q203="",I203&lt;&gt;"Réalisé")),"Facture à corriger",IF(AND(Q203&lt;&gt;"",COUNTIF($Q$2:$Q$301,Q203)&gt;1),"DOUBLON FACTURE",IF(AND(I203="Réalisé",ABS(G203-H203)&gt;0.001,T203=""),"Écart heures","OK")))))))))</f>
        <v/>
      </c>
      <c r="T203" s="8"/>
    </row>
    <row r="204" spans="1:20" ht="22" customHeight="1">
      <c r="A204" s="8"/>
      <c r="B204" s="6"/>
      <c r="C204" s="8"/>
      <c r="D204" s="9">
        <f>IF(C204="","",IFERROR(VLOOKUP(C204,Clients!$A$2:$M$51,12,FALSE),"CLIENT INCONNU"))</f>
        <v/>
      </c>
      <c r="E204" s="8"/>
      <c r="F204" s="9">
        <f>IF(E204="","",IFERROR(VLOOKUP(E204,Services!$A$2:$D$4,2,FALSE),"SERVICE INCONNU"))</f>
        <v/>
      </c>
      <c r="G204" s="8"/>
      <c r="H204" s="8"/>
      <c r="I204" s="8"/>
      <c r="J204" s="11">
        <f>IF(E204="","",IFERROR(VLOOKUP(E204,Services!$A$2:$D$4,3,FALSE),0))</f>
        <v/>
      </c>
      <c r="K204" s="9">
        <f>IF(C204="","",IFERROR(VLOOKUP(C204,Clients!$A$2:$M$51,11,FALSE),"Non"))</f>
        <v/>
      </c>
      <c r="L204" s="12">
        <f>IF(A204="","",IF(I204&lt;&gt;"Réalisé",0,IF(E204&lt;&gt;"Sexologie",0,IF(K204&lt;&gt;"Oui",0,IF(AND(B204&gt;=Parametres!$B$2,B204&lt;=Parametres!$B$3),Parametres!$B$5,0)))))</f>
        <v/>
      </c>
      <c r="M204" s="11">
        <f>IF(A204="","",IF(I204="Réalisé",ROUND(H204*J204,2),0))</f>
        <v/>
      </c>
      <c r="N204" s="11">
        <f>IF(A204="","",ROUND(M204*L204,2))</f>
        <v/>
      </c>
      <c r="O204" s="11">
        <f>IF(A204="","",ROUND(M204-N204,2))</f>
        <v/>
      </c>
      <c r="P204" s="8"/>
      <c r="Q204" s="8"/>
      <c r="R204" s="13">
        <f>IF(A204="","",IF(I204="Réalisé",H204,0))</f>
        <v/>
      </c>
      <c r="S204" s="9">
        <f>IF(A204="","",IF(COUNTIF($A$2:$A$301,A204)&gt;1,"DOUBLON RDV",IF(COUNTIF(Clients!$A$2:$A$51,C204)&lt;&gt;1,"Client à corriger",IF(COUNTIF(Services!$A$2:$A$4,E204)&lt;&gt;1,"Service à corriger",IF(OR(NOT(ISNUMBER(B204)),G204&lt;=0,H204&lt;0,COUNTIF(ListeStatuts,I204)&lt;&gt;1,COUNTIF(ListeFactures,P204)&lt;&gt;1),"Saisie à corriger",IF(AND(I204="Réalisé",OR(H204&lt;=0,B204&gt;Parametres!$B$7)),"Réalisation à vérifier",IF(AND(P204="Émise",OR(Q204="",I204&lt;&gt;"Réalisé")),"Facture à corriger",IF(AND(Q204&lt;&gt;"",COUNTIF($Q$2:$Q$301,Q204)&gt;1),"DOUBLON FACTURE",IF(AND(I204="Réalisé",ABS(G204-H204)&gt;0.001,T204=""),"Écart heures","OK")))))))))</f>
        <v/>
      </c>
      <c r="T204" s="8"/>
    </row>
    <row r="205" spans="1:20" ht="22" customHeight="1">
      <c r="A205" s="8"/>
      <c r="B205" s="6"/>
      <c r="C205" s="8"/>
      <c r="D205" s="9">
        <f>IF(C205="","",IFERROR(VLOOKUP(C205,Clients!$A$2:$M$51,12,FALSE),"CLIENT INCONNU"))</f>
        <v/>
      </c>
      <c r="E205" s="8"/>
      <c r="F205" s="9">
        <f>IF(E205="","",IFERROR(VLOOKUP(E205,Services!$A$2:$D$4,2,FALSE),"SERVICE INCONNU"))</f>
        <v/>
      </c>
      <c r="G205" s="8"/>
      <c r="H205" s="8"/>
      <c r="I205" s="8"/>
      <c r="J205" s="11">
        <f>IF(E205="","",IFERROR(VLOOKUP(E205,Services!$A$2:$D$4,3,FALSE),0))</f>
        <v/>
      </c>
      <c r="K205" s="9">
        <f>IF(C205="","",IFERROR(VLOOKUP(C205,Clients!$A$2:$M$51,11,FALSE),"Non"))</f>
        <v/>
      </c>
      <c r="L205" s="12">
        <f>IF(A205="","",IF(I205&lt;&gt;"Réalisé",0,IF(E205&lt;&gt;"Sexologie",0,IF(K205&lt;&gt;"Oui",0,IF(AND(B205&gt;=Parametres!$B$2,B205&lt;=Parametres!$B$3),Parametres!$B$5,0)))))</f>
        <v/>
      </c>
      <c r="M205" s="11">
        <f>IF(A205="","",IF(I205="Réalisé",ROUND(H205*J205,2),0))</f>
        <v/>
      </c>
      <c r="N205" s="11">
        <f>IF(A205="","",ROUND(M205*L205,2))</f>
        <v/>
      </c>
      <c r="O205" s="11">
        <f>IF(A205="","",ROUND(M205-N205,2))</f>
        <v/>
      </c>
      <c r="P205" s="8"/>
      <c r="Q205" s="8"/>
      <c r="R205" s="13">
        <f>IF(A205="","",IF(I205="Réalisé",H205,0))</f>
        <v/>
      </c>
      <c r="S205" s="9">
        <f>IF(A205="","",IF(COUNTIF($A$2:$A$301,A205)&gt;1,"DOUBLON RDV",IF(COUNTIF(Clients!$A$2:$A$51,C205)&lt;&gt;1,"Client à corriger",IF(COUNTIF(Services!$A$2:$A$4,E205)&lt;&gt;1,"Service à corriger",IF(OR(NOT(ISNUMBER(B205)),G205&lt;=0,H205&lt;0,COUNTIF(ListeStatuts,I205)&lt;&gt;1,COUNTIF(ListeFactures,P205)&lt;&gt;1),"Saisie à corriger",IF(AND(I205="Réalisé",OR(H205&lt;=0,B205&gt;Parametres!$B$7)),"Réalisation à vérifier",IF(AND(P205="Émise",OR(Q205="",I205&lt;&gt;"Réalisé")),"Facture à corriger",IF(AND(Q205&lt;&gt;"",COUNTIF($Q$2:$Q$301,Q205)&gt;1),"DOUBLON FACTURE",IF(AND(I205="Réalisé",ABS(G205-H205)&gt;0.001,T205=""),"Écart heures","OK")))))))))</f>
        <v/>
      </c>
      <c r="T205" s="8"/>
    </row>
    <row r="206" spans="1:20" ht="22" customHeight="1">
      <c r="A206" s="8"/>
      <c r="B206" s="6"/>
      <c r="C206" s="8"/>
      <c r="D206" s="9">
        <f>IF(C206="","",IFERROR(VLOOKUP(C206,Clients!$A$2:$M$51,12,FALSE),"CLIENT INCONNU"))</f>
        <v/>
      </c>
      <c r="E206" s="8"/>
      <c r="F206" s="9">
        <f>IF(E206="","",IFERROR(VLOOKUP(E206,Services!$A$2:$D$4,2,FALSE),"SERVICE INCONNU"))</f>
        <v/>
      </c>
      <c r="G206" s="8"/>
      <c r="H206" s="8"/>
      <c r="I206" s="8"/>
      <c r="J206" s="11">
        <f>IF(E206="","",IFERROR(VLOOKUP(E206,Services!$A$2:$D$4,3,FALSE),0))</f>
        <v/>
      </c>
      <c r="K206" s="9">
        <f>IF(C206="","",IFERROR(VLOOKUP(C206,Clients!$A$2:$M$51,11,FALSE),"Non"))</f>
        <v/>
      </c>
      <c r="L206" s="12">
        <f>IF(A206="","",IF(I206&lt;&gt;"Réalisé",0,IF(E206&lt;&gt;"Sexologie",0,IF(K206&lt;&gt;"Oui",0,IF(AND(B206&gt;=Parametres!$B$2,B206&lt;=Parametres!$B$3),Parametres!$B$5,0)))))</f>
        <v/>
      </c>
      <c r="M206" s="11">
        <f>IF(A206="","",IF(I206="Réalisé",ROUND(H206*J206,2),0))</f>
        <v/>
      </c>
      <c r="N206" s="11">
        <f>IF(A206="","",ROUND(M206*L206,2))</f>
        <v/>
      </c>
      <c r="O206" s="11">
        <f>IF(A206="","",ROUND(M206-N206,2))</f>
        <v/>
      </c>
      <c r="P206" s="8"/>
      <c r="Q206" s="8"/>
      <c r="R206" s="13">
        <f>IF(A206="","",IF(I206="Réalisé",H206,0))</f>
        <v/>
      </c>
      <c r="S206" s="9">
        <f>IF(A206="","",IF(COUNTIF($A$2:$A$301,A206)&gt;1,"DOUBLON RDV",IF(COUNTIF(Clients!$A$2:$A$51,C206)&lt;&gt;1,"Client à corriger",IF(COUNTIF(Services!$A$2:$A$4,E206)&lt;&gt;1,"Service à corriger",IF(OR(NOT(ISNUMBER(B206)),G206&lt;=0,H206&lt;0,COUNTIF(ListeStatuts,I206)&lt;&gt;1,COUNTIF(ListeFactures,P206)&lt;&gt;1),"Saisie à corriger",IF(AND(I206="Réalisé",OR(H206&lt;=0,B206&gt;Parametres!$B$7)),"Réalisation à vérifier",IF(AND(P206="Émise",OR(Q206="",I206&lt;&gt;"Réalisé")),"Facture à corriger",IF(AND(Q206&lt;&gt;"",COUNTIF($Q$2:$Q$301,Q206)&gt;1),"DOUBLON FACTURE",IF(AND(I206="Réalisé",ABS(G206-H206)&gt;0.001,T206=""),"Écart heures","OK")))))))))</f>
        <v/>
      </c>
      <c r="T206" s="8"/>
    </row>
    <row r="207" spans="1:20" ht="22" customHeight="1">
      <c r="A207" s="8"/>
      <c r="B207" s="6"/>
      <c r="C207" s="8"/>
      <c r="D207" s="9">
        <f>IF(C207="","",IFERROR(VLOOKUP(C207,Clients!$A$2:$M$51,12,FALSE),"CLIENT INCONNU"))</f>
        <v/>
      </c>
      <c r="E207" s="8"/>
      <c r="F207" s="9">
        <f>IF(E207="","",IFERROR(VLOOKUP(E207,Services!$A$2:$D$4,2,FALSE),"SERVICE INCONNU"))</f>
        <v/>
      </c>
      <c r="G207" s="8"/>
      <c r="H207" s="8"/>
      <c r="I207" s="8"/>
      <c r="J207" s="11">
        <f>IF(E207="","",IFERROR(VLOOKUP(E207,Services!$A$2:$D$4,3,FALSE),0))</f>
        <v/>
      </c>
      <c r="K207" s="9">
        <f>IF(C207="","",IFERROR(VLOOKUP(C207,Clients!$A$2:$M$51,11,FALSE),"Non"))</f>
        <v/>
      </c>
      <c r="L207" s="12">
        <f>IF(A207="","",IF(I207&lt;&gt;"Réalisé",0,IF(E207&lt;&gt;"Sexologie",0,IF(K207&lt;&gt;"Oui",0,IF(AND(B207&gt;=Parametres!$B$2,B207&lt;=Parametres!$B$3),Parametres!$B$5,0)))))</f>
        <v/>
      </c>
      <c r="M207" s="11">
        <f>IF(A207="","",IF(I207="Réalisé",ROUND(H207*J207,2),0))</f>
        <v/>
      </c>
      <c r="N207" s="11">
        <f>IF(A207="","",ROUND(M207*L207,2))</f>
        <v/>
      </c>
      <c r="O207" s="11">
        <f>IF(A207="","",ROUND(M207-N207,2))</f>
        <v/>
      </c>
      <c r="P207" s="8"/>
      <c r="Q207" s="8"/>
      <c r="R207" s="13">
        <f>IF(A207="","",IF(I207="Réalisé",H207,0))</f>
        <v/>
      </c>
      <c r="S207" s="9">
        <f>IF(A207="","",IF(COUNTIF($A$2:$A$301,A207)&gt;1,"DOUBLON RDV",IF(COUNTIF(Clients!$A$2:$A$51,C207)&lt;&gt;1,"Client à corriger",IF(COUNTIF(Services!$A$2:$A$4,E207)&lt;&gt;1,"Service à corriger",IF(OR(NOT(ISNUMBER(B207)),G207&lt;=0,H207&lt;0,COUNTIF(ListeStatuts,I207)&lt;&gt;1,COUNTIF(ListeFactures,P207)&lt;&gt;1),"Saisie à corriger",IF(AND(I207="Réalisé",OR(H207&lt;=0,B207&gt;Parametres!$B$7)),"Réalisation à vérifier",IF(AND(P207="Émise",OR(Q207="",I207&lt;&gt;"Réalisé")),"Facture à corriger",IF(AND(Q207&lt;&gt;"",COUNTIF($Q$2:$Q$301,Q207)&gt;1),"DOUBLON FACTURE",IF(AND(I207="Réalisé",ABS(G207-H207)&gt;0.001,T207=""),"Écart heures","OK")))))))))</f>
        <v/>
      </c>
      <c r="T207" s="8"/>
    </row>
    <row r="208" spans="1:20" ht="22" customHeight="1">
      <c r="A208" s="8"/>
      <c r="B208" s="6"/>
      <c r="C208" s="8"/>
      <c r="D208" s="9">
        <f>IF(C208="","",IFERROR(VLOOKUP(C208,Clients!$A$2:$M$51,12,FALSE),"CLIENT INCONNU"))</f>
        <v/>
      </c>
      <c r="E208" s="8"/>
      <c r="F208" s="9">
        <f>IF(E208="","",IFERROR(VLOOKUP(E208,Services!$A$2:$D$4,2,FALSE),"SERVICE INCONNU"))</f>
        <v/>
      </c>
      <c r="G208" s="8"/>
      <c r="H208" s="8"/>
      <c r="I208" s="8"/>
      <c r="J208" s="11">
        <f>IF(E208="","",IFERROR(VLOOKUP(E208,Services!$A$2:$D$4,3,FALSE),0))</f>
        <v/>
      </c>
      <c r="K208" s="9">
        <f>IF(C208="","",IFERROR(VLOOKUP(C208,Clients!$A$2:$M$51,11,FALSE),"Non"))</f>
        <v/>
      </c>
      <c r="L208" s="12">
        <f>IF(A208="","",IF(I208&lt;&gt;"Réalisé",0,IF(E208&lt;&gt;"Sexologie",0,IF(K208&lt;&gt;"Oui",0,IF(AND(B208&gt;=Parametres!$B$2,B208&lt;=Parametres!$B$3),Parametres!$B$5,0)))))</f>
        <v/>
      </c>
      <c r="M208" s="11">
        <f>IF(A208="","",IF(I208="Réalisé",ROUND(H208*J208,2),0))</f>
        <v/>
      </c>
      <c r="N208" s="11">
        <f>IF(A208="","",ROUND(M208*L208,2))</f>
        <v/>
      </c>
      <c r="O208" s="11">
        <f>IF(A208="","",ROUND(M208-N208,2))</f>
        <v/>
      </c>
      <c r="P208" s="8"/>
      <c r="Q208" s="8"/>
      <c r="R208" s="13">
        <f>IF(A208="","",IF(I208="Réalisé",H208,0))</f>
        <v/>
      </c>
      <c r="S208" s="9">
        <f>IF(A208="","",IF(COUNTIF($A$2:$A$301,A208)&gt;1,"DOUBLON RDV",IF(COUNTIF(Clients!$A$2:$A$51,C208)&lt;&gt;1,"Client à corriger",IF(COUNTIF(Services!$A$2:$A$4,E208)&lt;&gt;1,"Service à corriger",IF(OR(NOT(ISNUMBER(B208)),G208&lt;=0,H208&lt;0,COUNTIF(ListeStatuts,I208)&lt;&gt;1,COUNTIF(ListeFactures,P208)&lt;&gt;1),"Saisie à corriger",IF(AND(I208="Réalisé",OR(H208&lt;=0,B208&gt;Parametres!$B$7)),"Réalisation à vérifier",IF(AND(P208="Émise",OR(Q208="",I208&lt;&gt;"Réalisé")),"Facture à corriger",IF(AND(Q208&lt;&gt;"",COUNTIF($Q$2:$Q$301,Q208)&gt;1),"DOUBLON FACTURE",IF(AND(I208="Réalisé",ABS(G208-H208)&gt;0.001,T208=""),"Écart heures","OK")))))))))</f>
        <v/>
      </c>
      <c r="T208" s="8"/>
    </row>
    <row r="209" spans="1:20" ht="22" customHeight="1">
      <c r="A209" s="8"/>
      <c r="B209" s="6"/>
      <c r="C209" s="8"/>
      <c r="D209" s="9">
        <f>IF(C209="","",IFERROR(VLOOKUP(C209,Clients!$A$2:$M$51,12,FALSE),"CLIENT INCONNU"))</f>
        <v/>
      </c>
      <c r="E209" s="8"/>
      <c r="F209" s="9">
        <f>IF(E209="","",IFERROR(VLOOKUP(E209,Services!$A$2:$D$4,2,FALSE),"SERVICE INCONNU"))</f>
        <v/>
      </c>
      <c r="G209" s="8"/>
      <c r="H209" s="8"/>
      <c r="I209" s="8"/>
      <c r="J209" s="11">
        <f>IF(E209="","",IFERROR(VLOOKUP(E209,Services!$A$2:$D$4,3,FALSE),0))</f>
        <v/>
      </c>
      <c r="K209" s="9">
        <f>IF(C209="","",IFERROR(VLOOKUP(C209,Clients!$A$2:$M$51,11,FALSE),"Non"))</f>
        <v/>
      </c>
      <c r="L209" s="12">
        <f>IF(A209="","",IF(I209&lt;&gt;"Réalisé",0,IF(E209&lt;&gt;"Sexologie",0,IF(K209&lt;&gt;"Oui",0,IF(AND(B209&gt;=Parametres!$B$2,B209&lt;=Parametres!$B$3),Parametres!$B$5,0)))))</f>
        <v/>
      </c>
      <c r="M209" s="11">
        <f>IF(A209="","",IF(I209="Réalisé",ROUND(H209*J209,2),0))</f>
        <v/>
      </c>
      <c r="N209" s="11">
        <f>IF(A209="","",ROUND(M209*L209,2))</f>
        <v/>
      </c>
      <c r="O209" s="11">
        <f>IF(A209="","",ROUND(M209-N209,2))</f>
        <v/>
      </c>
      <c r="P209" s="8"/>
      <c r="Q209" s="8"/>
      <c r="R209" s="13">
        <f>IF(A209="","",IF(I209="Réalisé",H209,0))</f>
        <v/>
      </c>
      <c r="S209" s="9">
        <f>IF(A209="","",IF(COUNTIF($A$2:$A$301,A209)&gt;1,"DOUBLON RDV",IF(COUNTIF(Clients!$A$2:$A$51,C209)&lt;&gt;1,"Client à corriger",IF(COUNTIF(Services!$A$2:$A$4,E209)&lt;&gt;1,"Service à corriger",IF(OR(NOT(ISNUMBER(B209)),G209&lt;=0,H209&lt;0,COUNTIF(ListeStatuts,I209)&lt;&gt;1,COUNTIF(ListeFactures,P209)&lt;&gt;1),"Saisie à corriger",IF(AND(I209="Réalisé",OR(H209&lt;=0,B209&gt;Parametres!$B$7)),"Réalisation à vérifier",IF(AND(P209="Émise",OR(Q209="",I209&lt;&gt;"Réalisé")),"Facture à corriger",IF(AND(Q209&lt;&gt;"",COUNTIF($Q$2:$Q$301,Q209)&gt;1),"DOUBLON FACTURE",IF(AND(I209="Réalisé",ABS(G209-H209)&gt;0.001,T209=""),"Écart heures","OK")))))))))</f>
        <v/>
      </c>
      <c r="T209" s="8"/>
    </row>
    <row r="210" spans="1:20" ht="22" customHeight="1">
      <c r="A210" s="8"/>
      <c r="B210" s="6"/>
      <c r="C210" s="8"/>
      <c r="D210" s="9">
        <f>IF(C210="","",IFERROR(VLOOKUP(C210,Clients!$A$2:$M$51,12,FALSE),"CLIENT INCONNU"))</f>
        <v/>
      </c>
      <c r="E210" s="8"/>
      <c r="F210" s="9">
        <f>IF(E210="","",IFERROR(VLOOKUP(E210,Services!$A$2:$D$4,2,FALSE),"SERVICE INCONNU"))</f>
        <v/>
      </c>
      <c r="G210" s="8"/>
      <c r="H210" s="8"/>
      <c r="I210" s="8"/>
      <c r="J210" s="11">
        <f>IF(E210="","",IFERROR(VLOOKUP(E210,Services!$A$2:$D$4,3,FALSE),0))</f>
        <v/>
      </c>
      <c r="K210" s="9">
        <f>IF(C210="","",IFERROR(VLOOKUP(C210,Clients!$A$2:$M$51,11,FALSE),"Non"))</f>
        <v/>
      </c>
      <c r="L210" s="12">
        <f>IF(A210="","",IF(I210&lt;&gt;"Réalisé",0,IF(E210&lt;&gt;"Sexologie",0,IF(K210&lt;&gt;"Oui",0,IF(AND(B210&gt;=Parametres!$B$2,B210&lt;=Parametres!$B$3),Parametres!$B$5,0)))))</f>
        <v/>
      </c>
      <c r="M210" s="11">
        <f>IF(A210="","",IF(I210="Réalisé",ROUND(H210*J210,2),0))</f>
        <v/>
      </c>
      <c r="N210" s="11">
        <f>IF(A210="","",ROUND(M210*L210,2))</f>
        <v/>
      </c>
      <c r="O210" s="11">
        <f>IF(A210="","",ROUND(M210-N210,2))</f>
        <v/>
      </c>
      <c r="P210" s="8"/>
      <c r="Q210" s="8"/>
      <c r="R210" s="13">
        <f>IF(A210="","",IF(I210="Réalisé",H210,0))</f>
        <v/>
      </c>
      <c r="S210" s="9">
        <f>IF(A210="","",IF(COUNTIF($A$2:$A$301,A210)&gt;1,"DOUBLON RDV",IF(COUNTIF(Clients!$A$2:$A$51,C210)&lt;&gt;1,"Client à corriger",IF(COUNTIF(Services!$A$2:$A$4,E210)&lt;&gt;1,"Service à corriger",IF(OR(NOT(ISNUMBER(B210)),G210&lt;=0,H210&lt;0,COUNTIF(ListeStatuts,I210)&lt;&gt;1,COUNTIF(ListeFactures,P210)&lt;&gt;1),"Saisie à corriger",IF(AND(I210="Réalisé",OR(H210&lt;=0,B210&gt;Parametres!$B$7)),"Réalisation à vérifier",IF(AND(P210="Émise",OR(Q210="",I210&lt;&gt;"Réalisé")),"Facture à corriger",IF(AND(Q210&lt;&gt;"",COUNTIF($Q$2:$Q$301,Q210)&gt;1),"DOUBLON FACTURE",IF(AND(I210="Réalisé",ABS(G210-H210)&gt;0.001,T210=""),"Écart heures","OK")))))))))</f>
        <v/>
      </c>
      <c r="T210" s="8"/>
    </row>
    <row r="211" spans="1:20" ht="22" customHeight="1">
      <c r="A211" s="8"/>
      <c r="B211" s="6"/>
      <c r="C211" s="8"/>
      <c r="D211" s="9">
        <f>IF(C211="","",IFERROR(VLOOKUP(C211,Clients!$A$2:$M$51,12,FALSE),"CLIENT INCONNU"))</f>
        <v/>
      </c>
      <c r="E211" s="8"/>
      <c r="F211" s="9">
        <f>IF(E211="","",IFERROR(VLOOKUP(E211,Services!$A$2:$D$4,2,FALSE),"SERVICE INCONNU"))</f>
        <v/>
      </c>
      <c r="G211" s="8"/>
      <c r="H211" s="8"/>
      <c r="I211" s="8"/>
      <c r="J211" s="11">
        <f>IF(E211="","",IFERROR(VLOOKUP(E211,Services!$A$2:$D$4,3,FALSE),0))</f>
        <v/>
      </c>
      <c r="K211" s="9">
        <f>IF(C211="","",IFERROR(VLOOKUP(C211,Clients!$A$2:$M$51,11,FALSE),"Non"))</f>
        <v/>
      </c>
      <c r="L211" s="12">
        <f>IF(A211="","",IF(I211&lt;&gt;"Réalisé",0,IF(E211&lt;&gt;"Sexologie",0,IF(K211&lt;&gt;"Oui",0,IF(AND(B211&gt;=Parametres!$B$2,B211&lt;=Parametres!$B$3),Parametres!$B$5,0)))))</f>
        <v/>
      </c>
      <c r="M211" s="11">
        <f>IF(A211="","",IF(I211="Réalisé",ROUND(H211*J211,2),0))</f>
        <v/>
      </c>
      <c r="N211" s="11">
        <f>IF(A211="","",ROUND(M211*L211,2))</f>
        <v/>
      </c>
      <c r="O211" s="11">
        <f>IF(A211="","",ROUND(M211-N211,2))</f>
        <v/>
      </c>
      <c r="P211" s="8"/>
      <c r="Q211" s="8"/>
      <c r="R211" s="13">
        <f>IF(A211="","",IF(I211="Réalisé",H211,0))</f>
        <v/>
      </c>
      <c r="S211" s="9">
        <f>IF(A211="","",IF(COUNTIF($A$2:$A$301,A211)&gt;1,"DOUBLON RDV",IF(COUNTIF(Clients!$A$2:$A$51,C211)&lt;&gt;1,"Client à corriger",IF(COUNTIF(Services!$A$2:$A$4,E211)&lt;&gt;1,"Service à corriger",IF(OR(NOT(ISNUMBER(B211)),G211&lt;=0,H211&lt;0,COUNTIF(ListeStatuts,I211)&lt;&gt;1,COUNTIF(ListeFactures,P211)&lt;&gt;1),"Saisie à corriger",IF(AND(I211="Réalisé",OR(H211&lt;=0,B211&gt;Parametres!$B$7)),"Réalisation à vérifier",IF(AND(P211="Émise",OR(Q211="",I211&lt;&gt;"Réalisé")),"Facture à corriger",IF(AND(Q211&lt;&gt;"",COUNTIF($Q$2:$Q$301,Q211)&gt;1),"DOUBLON FACTURE",IF(AND(I211="Réalisé",ABS(G211-H211)&gt;0.001,T211=""),"Écart heures","OK")))))))))</f>
        <v/>
      </c>
      <c r="T211" s="8"/>
    </row>
    <row r="212" spans="1:20" ht="22" customHeight="1">
      <c r="A212" s="8"/>
      <c r="B212" s="6"/>
      <c r="C212" s="8"/>
      <c r="D212" s="9">
        <f>IF(C212="","",IFERROR(VLOOKUP(C212,Clients!$A$2:$M$51,12,FALSE),"CLIENT INCONNU"))</f>
        <v/>
      </c>
      <c r="E212" s="8"/>
      <c r="F212" s="9">
        <f>IF(E212="","",IFERROR(VLOOKUP(E212,Services!$A$2:$D$4,2,FALSE),"SERVICE INCONNU"))</f>
        <v/>
      </c>
      <c r="G212" s="8"/>
      <c r="H212" s="8"/>
      <c r="I212" s="8"/>
      <c r="J212" s="11">
        <f>IF(E212="","",IFERROR(VLOOKUP(E212,Services!$A$2:$D$4,3,FALSE),0))</f>
        <v/>
      </c>
      <c r="K212" s="9">
        <f>IF(C212="","",IFERROR(VLOOKUP(C212,Clients!$A$2:$M$51,11,FALSE),"Non"))</f>
        <v/>
      </c>
      <c r="L212" s="12">
        <f>IF(A212="","",IF(I212&lt;&gt;"Réalisé",0,IF(E212&lt;&gt;"Sexologie",0,IF(K212&lt;&gt;"Oui",0,IF(AND(B212&gt;=Parametres!$B$2,B212&lt;=Parametres!$B$3),Parametres!$B$5,0)))))</f>
        <v/>
      </c>
      <c r="M212" s="11">
        <f>IF(A212="","",IF(I212="Réalisé",ROUND(H212*J212,2),0))</f>
        <v/>
      </c>
      <c r="N212" s="11">
        <f>IF(A212="","",ROUND(M212*L212,2))</f>
        <v/>
      </c>
      <c r="O212" s="11">
        <f>IF(A212="","",ROUND(M212-N212,2))</f>
        <v/>
      </c>
      <c r="P212" s="8"/>
      <c r="Q212" s="8"/>
      <c r="R212" s="13">
        <f>IF(A212="","",IF(I212="Réalisé",H212,0))</f>
        <v/>
      </c>
      <c r="S212" s="9">
        <f>IF(A212="","",IF(COUNTIF($A$2:$A$301,A212)&gt;1,"DOUBLON RDV",IF(COUNTIF(Clients!$A$2:$A$51,C212)&lt;&gt;1,"Client à corriger",IF(COUNTIF(Services!$A$2:$A$4,E212)&lt;&gt;1,"Service à corriger",IF(OR(NOT(ISNUMBER(B212)),G212&lt;=0,H212&lt;0,COUNTIF(ListeStatuts,I212)&lt;&gt;1,COUNTIF(ListeFactures,P212)&lt;&gt;1),"Saisie à corriger",IF(AND(I212="Réalisé",OR(H212&lt;=0,B212&gt;Parametres!$B$7)),"Réalisation à vérifier",IF(AND(P212="Émise",OR(Q212="",I212&lt;&gt;"Réalisé")),"Facture à corriger",IF(AND(Q212&lt;&gt;"",COUNTIF($Q$2:$Q$301,Q212)&gt;1),"DOUBLON FACTURE",IF(AND(I212="Réalisé",ABS(G212-H212)&gt;0.001,T212=""),"Écart heures","OK")))))))))</f>
        <v/>
      </c>
      <c r="T212" s="8"/>
    </row>
    <row r="213" spans="1:20" ht="22" customHeight="1">
      <c r="A213" s="8"/>
      <c r="B213" s="6"/>
      <c r="C213" s="8"/>
      <c r="D213" s="9">
        <f>IF(C213="","",IFERROR(VLOOKUP(C213,Clients!$A$2:$M$51,12,FALSE),"CLIENT INCONNU"))</f>
        <v/>
      </c>
      <c r="E213" s="8"/>
      <c r="F213" s="9">
        <f>IF(E213="","",IFERROR(VLOOKUP(E213,Services!$A$2:$D$4,2,FALSE),"SERVICE INCONNU"))</f>
        <v/>
      </c>
      <c r="G213" s="8"/>
      <c r="H213" s="8"/>
      <c r="I213" s="8"/>
      <c r="J213" s="11">
        <f>IF(E213="","",IFERROR(VLOOKUP(E213,Services!$A$2:$D$4,3,FALSE),0))</f>
        <v/>
      </c>
      <c r="K213" s="9">
        <f>IF(C213="","",IFERROR(VLOOKUP(C213,Clients!$A$2:$M$51,11,FALSE),"Non"))</f>
        <v/>
      </c>
      <c r="L213" s="12">
        <f>IF(A213="","",IF(I213&lt;&gt;"Réalisé",0,IF(E213&lt;&gt;"Sexologie",0,IF(K213&lt;&gt;"Oui",0,IF(AND(B213&gt;=Parametres!$B$2,B213&lt;=Parametres!$B$3),Parametres!$B$5,0)))))</f>
        <v/>
      </c>
      <c r="M213" s="11">
        <f>IF(A213="","",IF(I213="Réalisé",ROUND(H213*J213,2),0))</f>
        <v/>
      </c>
      <c r="N213" s="11">
        <f>IF(A213="","",ROUND(M213*L213,2))</f>
        <v/>
      </c>
      <c r="O213" s="11">
        <f>IF(A213="","",ROUND(M213-N213,2))</f>
        <v/>
      </c>
      <c r="P213" s="8"/>
      <c r="Q213" s="8"/>
      <c r="R213" s="13">
        <f>IF(A213="","",IF(I213="Réalisé",H213,0))</f>
        <v/>
      </c>
      <c r="S213" s="9">
        <f>IF(A213="","",IF(COUNTIF($A$2:$A$301,A213)&gt;1,"DOUBLON RDV",IF(COUNTIF(Clients!$A$2:$A$51,C213)&lt;&gt;1,"Client à corriger",IF(COUNTIF(Services!$A$2:$A$4,E213)&lt;&gt;1,"Service à corriger",IF(OR(NOT(ISNUMBER(B213)),G213&lt;=0,H213&lt;0,COUNTIF(ListeStatuts,I213)&lt;&gt;1,COUNTIF(ListeFactures,P213)&lt;&gt;1),"Saisie à corriger",IF(AND(I213="Réalisé",OR(H213&lt;=0,B213&gt;Parametres!$B$7)),"Réalisation à vérifier",IF(AND(P213="Émise",OR(Q213="",I213&lt;&gt;"Réalisé")),"Facture à corriger",IF(AND(Q213&lt;&gt;"",COUNTIF($Q$2:$Q$301,Q213)&gt;1),"DOUBLON FACTURE",IF(AND(I213="Réalisé",ABS(G213-H213)&gt;0.001,T213=""),"Écart heures","OK")))))))))</f>
        <v/>
      </c>
      <c r="T213" s="8"/>
    </row>
    <row r="214" spans="1:20" ht="22" customHeight="1">
      <c r="A214" s="8"/>
      <c r="B214" s="6"/>
      <c r="C214" s="8"/>
      <c r="D214" s="9">
        <f>IF(C214="","",IFERROR(VLOOKUP(C214,Clients!$A$2:$M$51,12,FALSE),"CLIENT INCONNU"))</f>
        <v/>
      </c>
      <c r="E214" s="8"/>
      <c r="F214" s="9">
        <f>IF(E214="","",IFERROR(VLOOKUP(E214,Services!$A$2:$D$4,2,FALSE),"SERVICE INCONNU"))</f>
        <v/>
      </c>
      <c r="G214" s="8"/>
      <c r="H214" s="8"/>
      <c r="I214" s="8"/>
      <c r="J214" s="11">
        <f>IF(E214="","",IFERROR(VLOOKUP(E214,Services!$A$2:$D$4,3,FALSE),0))</f>
        <v/>
      </c>
      <c r="K214" s="9">
        <f>IF(C214="","",IFERROR(VLOOKUP(C214,Clients!$A$2:$M$51,11,FALSE),"Non"))</f>
        <v/>
      </c>
      <c r="L214" s="12">
        <f>IF(A214="","",IF(I214&lt;&gt;"Réalisé",0,IF(E214&lt;&gt;"Sexologie",0,IF(K214&lt;&gt;"Oui",0,IF(AND(B214&gt;=Parametres!$B$2,B214&lt;=Parametres!$B$3),Parametres!$B$5,0)))))</f>
        <v/>
      </c>
      <c r="M214" s="11">
        <f>IF(A214="","",IF(I214="Réalisé",ROUND(H214*J214,2),0))</f>
        <v/>
      </c>
      <c r="N214" s="11">
        <f>IF(A214="","",ROUND(M214*L214,2))</f>
        <v/>
      </c>
      <c r="O214" s="11">
        <f>IF(A214="","",ROUND(M214-N214,2))</f>
        <v/>
      </c>
      <c r="P214" s="8"/>
      <c r="Q214" s="8"/>
      <c r="R214" s="13">
        <f>IF(A214="","",IF(I214="Réalisé",H214,0))</f>
        <v/>
      </c>
      <c r="S214" s="9">
        <f>IF(A214="","",IF(COUNTIF($A$2:$A$301,A214)&gt;1,"DOUBLON RDV",IF(COUNTIF(Clients!$A$2:$A$51,C214)&lt;&gt;1,"Client à corriger",IF(COUNTIF(Services!$A$2:$A$4,E214)&lt;&gt;1,"Service à corriger",IF(OR(NOT(ISNUMBER(B214)),G214&lt;=0,H214&lt;0,COUNTIF(ListeStatuts,I214)&lt;&gt;1,COUNTIF(ListeFactures,P214)&lt;&gt;1),"Saisie à corriger",IF(AND(I214="Réalisé",OR(H214&lt;=0,B214&gt;Parametres!$B$7)),"Réalisation à vérifier",IF(AND(P214="Émise",OR(Q214="",I214&lt;&gt;"Réalisé")),"Facture à corriger",IF(AND(Q214&lt;&gt;"",COUNTIF($Q$2:$Q$301,Q214)&gt;1),"DOUBLON FACTURE",IF(AND(I214="Réalisé",ABS(G214-H214)&gt;0.001,T214=""),"Écart heures","OK")))))))))</f>
        <v/>
      </c>
      <c r="T214" s="8"/>
    </row>
    <row r="215" spans="1:20" ht="22" customHeight="1">
      <c r="A215" s="8"/>
      <c r="B215" s="6"/>
      <c r="C215" s="8"/>
      <c r="D215" s="9">
        <f>IF(C215="","",IFERROR(VLOOKUP(C215,Clients!$A$2:$M$51,12,FALSE),"CLIENT INCONNU"))</f>
        <v/>
      </c>
      <c r="E215" s="8"/>
      <c r="F215" s="9">
        <f>IF(E215="","",IFERROR(VLOOKUP(E215,Services!$A$2:$D$4,2,FALSE),"SERVICE INCONNU"))</f>
        <v/>
      </c>
      <c r="G215" s="8"/>
      <c r="H215" s="8"/>
      <c r="I215" s="8"/>
      <c r="J215" s="11">
        <f>IF(E215="","",IFERROR(VLOOKUP(E215,Services!$A$2:$D$4,3,FALSE),0))</f>
        <v/>
      </c>
      <c r="K215" s="9">
        <f>IF(C215="","",IFERROR(VLOOKUP(C215,Clients!$A$2:$M$51,11,FALSE),"Non"))</f>
        <v/>
      </c>
      <c r="L215" s="12">
        <f>IF(A215="","",IF(I215&lt;&gt;"Réalisé",0,IF(E215&lt;&gt;"Sexologie",0,IF(K215&lt;&gt;"Oui",0,IF(AND(B215&gt;=Parametres!$B$2,B215&lt;=Parametres!$B$3),Parametres!$B$5,0)))))</f>
        <v/>
      </c>
      <c r="M215" s="11">
        <f>IF(A215="","",IF(I215="Réalisé",ROUND(H215*J215,2),0))</f>
        <v/>
      </c>
      <c r="N215" s="11">
        <f>IF(A215="","",ROUND(M215*L215,2))</f>
        <v/>
      </c>
      <c r="O215" s="11">
        <f>IF(A215="","",ROUND(M215-N215,2))</f>
        <v/>
      </c>
      <c r="P215" s="8"/>
      <c r="Q215" s="8"/>
      <c r="R215" s="13">
        <f>IF(A215="","",IF(I215="Réalisé",H215,0))</f>
        <v/>
      </c>
      <c r="S215" s="9">
        <f>IF(A215="","",IF(COUNTIF($A$2:$A$301,A215)&gt;1,"DOUBLON RDV",IF(COUNTIF(Clients!$A$2:$A$51,C215)&lt;&gt;1,"Client à corriger",IF(COUNTIF(Services!$A$2:$A$4,E215)&lt;&gt;1,"Service à corriger",IF(OR(NOT(ISNUMBER(B215)),G215&lt;=0,H215&lt;0,COUNTIF(ListeStatuts,I215)&lt;&gt;1,COUNTIF(ListeFactures,P215)&lt;&gt;1),"Saisie à corriger",IF(AND(I215="Réalisé",OR(H215&lt;=0,B215&gt;Parametres!$B$7)),"Réalisation à vérifier",IF(AND(P215="Émise",OR(Q215="",I215&lt;&gt;"Réalisé")),"Facture à corriger",IF(AND(Q215&lt;&gt;"",COUNTIF($Q$2:$Q$301,Q215)&gt;1),"DOUBLON FACTURE",IF(AND(I215="Réalisé",ABS(G215-H215)&gt;0.001,T215=""),"Écart heures","OK")))))))))</f>
        <v/>
      </c>
      <c r="T215" s="8"/>
    </row>
    <row r="216" spans="1:20" ht="22" customHeight="1">
      <c r="A216" s="8"/>
      <c r="B216" s="6"/>
      <c r="C216" s="8"/>
      <c r="D216" s="9">
        <f>IF(C216="","",IFERROR(VLOOKUP(C216,Clients!$A$2:$M$51,12,FALSE),"CLIENT INCONNU"))</f>
        <v/>
      </c>
      <c r="E216" s="8"/>
      <c r="F216" s="9">
        <f>IF(E216="","",IFERROR(VLOOKUP(E216,Services!$A$2:$D$4,2,FALSE),"SERVICE INCONNU"))</f>
        <v/>
      </c>
      <c r="G216" s="8"/>
      <c r="H216" s="8"/>
      <c r="I216" s="8"/>
      <c r="J216" s="11">
        <f>IF(E216="","",IFERROR(VLOOKUP(E216,Services!$A$2:$D$4,3,FALSE),0))</f>
        <v/>
      </c>
      <c r="K216" s="9">
        <f>IF(C216="","",IFERROR(VLOOKUP(C216,Clients!$A$2:$M$51,11,FALSE),"Non"))</f>
        <v/>
      </c>
      <c r="L216" s="12">
        <f>IF(A216="","",IF(I216&lt;&gt;"Réalisé",0,IF(E216&lt;&gt;"Sexologie",0,IF(K216&lt;&gt;"Oui",0,IF(AND(B216&gt;=Parametres!$B$2,B216&lt;=Parametres!$B$3),Parametres!$B$5,0)))))</f>
        <v/>
      </c>
      <c r="M216" s="11">
        <f>IF(A216="","",IF(I216="Réalisé",ROUND(H216*J216,2),0))</f>
        <v/>
      </c>
      <c r="N216" s="11">
        <f>IF(A216="","",ROUND(M216*L216,2))</f>
        <v/>
      </c>
      <c r="O216" s="11">
        <f>IF(A216="","",ROUND(M216-N216,2))</f>
        <v/>
      </c>
      <c r="P216" s="8"/>
      <c r="Q216" s="8"/>
      <c r="R216" s="13">
        <f>IF(A216="","",IF(I216="Réalisé",H216,0))</f>
        <v/>
      </c>
      <c r="S216" s="9">
        <f>IF(A216="","",IF(COUNTIF($A$2:$A$301,A216)&gt;1,"DOUBLON RDV",IF(COUNTIF(Clients!$A$2:$A$51,C216)&lt;&gt;1,"Client à corriger",IF(COUNTIF(Services!$A$2:$A$4,E216)&lt;&gt;1,"Service à corriger",IF(OR(NOT(ISNUMBER(B216)),G216&lt;=0,H216&lt;0,COUNTIF(ListeStatuts,I216)&lt;&gt;1,COUNTIF(ListeFactures,P216)&lt;&gt;1),"Saisie à corriger",IF(AND(I216="Réalisé",OR(H216&lt;=0,B216&gt;Parametres!$B$7)),"Réalisation à vérifier",IF(AND(P216="Émise",OR(Q216="",I216&lt;&gt;"Réalisé")),"Facture à corriger",IF(AND(Q216&lt;&gt;"",COUNTIF($Q$2:$Q$301,Q216)&gt;1),"DOUBLON FACTURE",IF(AND(I216="Réalisé",ABS(G216-H216)&gt;0.001,T216=""),"Écart heures","OK")))))))))</f>
        <v/>
      </c>
      <c r="T216" s="8"/>
    </row>
    <row r="217" spans="1:20" ht="22" customHeight="1">
      <c r="A217" s="8"/>
      <c r="B217" s="6"/>
      <c r="C217" s="8"/>
      <c r="D217" s="9">
        <f>IF(C217="","",IFERROR(VLOOKUP(C217,Clients!$A$2:$M$51,12,FALSE),"CLIENT INCONNU"))</f>
        <v/>
      </c>
      <c r="E217" s="8"/>
      <c r="F217" s="9">
        <f>IF(E217="","",IFERROR(VLOOKUP(E217,Services!$A$2:$D$4,2,FALSE),"SERVICE INCONNU"))</f>
        <v/>
      </c>
      <c r="G217" s="8"/>
      <c r="H217" s="8"/>
      <c r="I217" s="8"/>
      <c r="J217" s="11">
        <f>IF(E217="","",IFERROR(VLOOKUP(E217,Services!$A$2:$D$4,3,FALSE),0))</f>
        <v/>
      </c>
      <c r="K217" s="9">
        <f>IF(C217="","",IFERROR(VLOOKUP(C217,Clients!$A$2:$M$51,11,FALSE),"Non"))</f>
        <v/>
      </c>
      <c r="L217" s="12">
        <f>IF(A217="","",IF(I217&lt;&gt;"Réalisé",0,IF(E217&lt;&gt;"Sexologie",0,IF(K217&lt;&gt;"Oui",0,IF(AND(B217&gt;=Parametres!$B$2,B217&lt;=Parametres!$B$3),Parametres!$B$5,0)))))</f>
        <v/>
      </c>
      <c r="M217" s="11">
        <f>IF(A217="","",IF(I217="Réalisé",ROUND(H217*J217,2),0))</f>
        <v/>
      </c>
      <c r="N217" s="11">
        <f>IF(A217="","",ROUND(M217*L217,2))</f>
        <v/>
      </c>
      <c r="O217" s="11">
        <f>IF(A217="","",ROUND(M217-N217,2))</f>
        <v/>
      </c>
      <c r="P217" s="8"/>
      <c r="Q217" s="8"/>
      <c r="R217" s="13">
        <f>IF(A217="","",IF(I217="Réalisé",H217,0))</f>
        <v/>
      </c>
      <c r="S217" s="9">
        <f>IF(A217="","",IF(COUNTIF($A$2:$A$301,A217)&gt;1,"DOUBLON RDV",IF(COUNTIF(Clients!$A$2:$A$51,C217)&lt;&gt;1,"Client à corriger",IF(COUNTIF(Services!$A$2:$A$4,E217)&lt;&gt;1,"Service à corriger",IF(OR(NOT(ISNUMBER(B217)),G217&lt;=0,H217&lt;0,COUNTIF(ListeStatuts,I217)&lt;&gt;1,COUNTIF(ListeFactures,P217)&lt;&gt;1),"Saisie à corriger",IF(AND(I217="Réalisé",OR(H217&lt;=0,B217&gt;Parametres!$B$7)),"Réalisation à vérifier",IF(AND(P217="Émise",OR(Q217="",I217&lt;&gt;"Réalisé")),"Facture à corriger",IF(AND(Q217&lt;&gt;"",COUNTIF($Q$2:$Q$301,Q217)&gt;1),"DOUBLON FACTURE",IF(AND(I217="Réalisé",ABS(G217-H217)&gt;0.001,T217=""),"Écart heures","OK")))))))))</f>
        <v/>
      </c>
      <c r="T217" s="8"/>
    </row>
    <row r="218" spans="1:20" ht="22" customHeight="1">
      <c r="A218" s="8"/>
      <c r="B218" s="6"/>
      <c r="C218" s="8"/>
      <c r="D218" s="9">
        <f>IF(C218="","",IFERROR(VLOOKUP(C218,Clients!$A$2:$M$51,12,FALSE),"CLIENT INCONNU"))</f>
        <v/>
      </c>
      <c r="E218" s="8"/>
      <c r="F218" s="9">
        <f>IF(E218="","",IFERROR(VLOOKUP(E218,Services!$A$2:$D$4,2,FALSE),"SERVICE INCONNU"))</f>
        <v/>
      </c>
      <c r="G218" s="8"/>
      <c r="H218" s="8"/>
      <c r="I218" s="8"/>
      <c r="J218" s="11">
        <f>IF(E218="","",IFERROR(VLOOKUP(E218,Services!$A$2:$D$4,3,FALSE),0))</f>
        <v/>
      </c>
      <c r="K218" s="9">
        <f>IF(C218="","",IFERROR(VLOOKUP(C218,Clients!$A$2:$M$51,11,FALSE),"Non"))</f>
        <v/>
      </c>
      <c r="L218" s="12">
        <f>IF(A218="","",IF(I218&lt;&gt;"Réalisé",0,IF(E218&lt;&gt;"Sexologie",0,IF(K218&lt;&gt;"Oui",0,IF(AND(B218&gt;=Parametres!$B$2,B218&lt;=Parametres!$B$3),Parametres!$B$5,0)))))</f>
        <v/>
      </c>
      <c r="M218" s="11">
        <f>IF(A218="","",IF(I218="Réalisé",ROUND(H218*J218,2),0))</f>
        <v/>
      </c>
      <c r="N218" s="11">
        <f>IF(A218="","",ROUND(M218*L218,2))</f>
        <v/>
      </c>
      <c r="O218" s="11">
        <f>IF(A218="","",ROUND(M218-N218,2))</f>
        <v/>
      </c>
      <c r="P218" s="8"/>
      <c r="Q218" s="8"/>
      <c r="R218" s="13">
        <f>IF(A218="","",IF(I218="Réalisé",H218,0))</f>
        <v/>
      </c>
      <c r="S218" s="9">
        <f>IF(A218="","",IF(COUNTIF($A$2:$A$301,A218)&gt;1,"DOUBLON RDV",IF(COUNTIF(Clients!$A$2:$A$51,C218)&lt;&gt;1,"Client à corriger",IF(COUNTIF(Services!$A$2:$A$4,E218)&lt;&gt;1,"Service à corriger",IF(OR(NOT(ISNUMBER(B218)),G218&lt;=0,H218&lt;0,COUNTIF(ListeStatuts,I218)&lt;&gt;1,COUNTIF(ListeFactures,P218)&lt;&gt;1),"Saisie à corriger",IF(AND(I218="Réalisé",OR(H218&lt;=0,B218&gt;Parametres!$B$7)),"Réalisation à vérifier",IF(AND(P218="Émise",OR(Q218="",I218&lt;&gt;"Réalisé")),"Facture à corriger",IF(AND(Q218&lt;&gt;"",COUNTIF($Q$2:$Q$301,Q218)&gt;1),"DOUBLON FACTURE",IF(AND(I218="Réalisé",ABS(G218-H218)&gt;0.001,T218=""),"Écart heures","OK")))))))))</f>
        <v/>
      </c>
      <c r="T218" s="8"/>
    </row>
    <row r="219" spans="1:20" ht="22" customHeight="1">
      <c r="A219" s="8"/>
      <c r="B219" s="6"/>
      <c r="C219" s="8"/>
      <c r="D219" s="9">
        <f>IF(C219="","",IFERROR(VLOOKUP(C219,Clients!$A$2:$M$51,12,FALSE),"CLIENT INCONNU"))</f>
        <v/>
      </c>
      <c r="E219" s="8"/>
      <c r="F219" s="9">
        <f>IF(E219="","",IFERROR(VLOOKUP(E219,Services!$A$2:$D$4,2,FALSE),"SERVICE INCONNU"))</f>
        <v/>
      </c>
      <c r="G219" s="8"/>
      <c r="H219" s="8"/>
      <c r="I219" s="8"/>
      <c r="J219" s="11">
        <f>IF(E219="","",IFERROR(VLOOKUP(E219,Services!$A$2:$D$4,3,FALSE),0))</f>
        <v/>
      </c>
      <c r="K219" s="9">
        <f>IF(C219="","",IFERROR(VLOOKUP(C219,Clients!$A$2:$M$51,11,FALSE),"Non"))</f>
        <v/>
      </c>
      <c r="L219" s="12">
        <f>IF(A219="","",IF(I219&lt;&gt;"Réalisé",0,IF(E219&lt;&gt;"Sexologie",0,IF(K219&lt;&gt;"Oui",0,IF(AND(B219&gt;=Parametres!$B$2,B219&lt;=Parametres!$B$3),Parametres!$B$5,0)))))</f>
        <v/>
      </c>
      <c r="M219" s="11">
        <f>IF(A219="","",IF(I219="Réalisé",ROUND(H219*J219,2),0))</f>
        <v/>
      </c>
      <c r="N219" s="11">
        <f>IF(A219="","",ROUND(M219*L219,2))</f>
        <v/>
      </c>
      <c r="O219" s="11">
        <f>IF(A219="","",ROUND(M219-N219,2))</f>
        <v/>
      </c>
      <c r="P219" s="8"/>
      <c r="Q219" s="8"/>
      <c r="R219" s="13">
        <f>IF(A219="","",IF(I219="Réalisé",H219,0))</f>
        <v/>
      </c>
      <c r="S219" s="9">
        <f>IF(A219="","",IF(COUNTIF($A$2:$A$301,A219)&gt;1,"DOUBLON RDV",IF(COUNTIF(Clients!$A$2:$A$51,C219)&lt;&gt;1,"Client à corriger",IF(COUNTIF(Services!$A$2:$A$4,E219)&lt;&gt;1,"Service à corriger",IF(OR(NOT(ISNUMBER(B219)),G219&lt;=0,H219&lt;0,COUNTIF(ListeStatuts,I219)&lt;&gt;1,COUNTIF(ListeFactures,P219)&lt;&gt;1),"Saisie à corriger",IF(AND(I219="Réalisé",OR(H219&lt;=0,B219&gt;Parametres!$B$7)),"Réalisation à vérifier",IF(AND(P219="Émise",OR(Q219="",I219&lt;&gt;"Réalisé")),"Facture à corriger",IF(AND(Q219&lt;&gt;"",COUNTIF($Q$2:$Q$301,Q219)&gt;1),"DOUBLON FACTURE",IF(AND(I219="Réalisé",ABS(G219-H219)&gt;0.001,T219=""),"Écart heures","OK")))))))))</f>
        <v/>
      </c>
      <c r="T219" s="8"/>
    </row>
    <row r="220" spans="1:20" ht="22" customHeight="1">
      <c r="A220" s="8"/>
      <c r="B220" s="6"/>
      <c r="C220" s="8"/>
      <c r="D220" s="9">
        <f>IF(C220="","",IFERROR(VLOOKUP(C220,Clients!$A$2:$M$51,12,FALSE),"CLIENT INCONNU"))</f>
        <v/>
      </c>
      <c r="E220" s="8"/>
      <c r="F220" s="9">
        <f>IF(E220="","",IFERROR(VLOOKUP(E220,Services!$A$2:$D$4,2,FALSE),"SERVICE INCONNU"))</f>
        <v/>
      </c>
      <c r="G220" s="8"/>
      <c r="H220" s="8"/>
      <c r="I220" s="8"/>
      <c r="J220" s="11">
        <f>IF(E220="","",IFERROR(VLOOKUP(E220,Services!$A$2:$D$4,3,FALSE),0))</f>
        <v/>
      </c>
      <c r="K220" s="9">
        <f>IF(C220="","",IFERROR(VLOOKUP(C220,Clients!$A$2:$M$51,11,FALSE),"Non"))</f>
        <v/>
      </c>
      <c r="L220" s="12">
        <f>IF(A220="","",IF(I220&lt;&gt;"Réalisé",0,IF(E220&lt;&gt;"Sexologie",0,IF(K220&lt;&gt;"Oui",0,IF(AND(B220&gt;=Parametres!$B$2,B220&lt;=Parametres!$B$3),Parametres!$B$5,0)))))</f>
        <v/>
      </c>
      <c r="M220" s="11">
        <f>IF(A220="","",IF(I220="Réalisé",ROUND(H220*J220,2),0))</f>
        <v/>
      </c>
      <c r="N220" s="11">
        <f>IF(A220="","",ROUND(M220*L220,2))</f>
        <v/>
      </c>
      <c r="O220" s="11">
        <f>IF(A220="","",ROUND(M220-N220,2))</f>
        <v/>
      </c>
      <c r="P220" s="8"/>
      <c r="Q220" s="8"/>
      <c r="R220" s="13">
        <f>IF(A220="","",IF(I220="Réalisé",H220,0))</f>
        <v/>
      </c>
      <c r="S220" s="9">
        <f>IF(A220="","",IF(COUNTIF($A$2:$A$301,A220)&gt;1,"DOUBLON RDV",IF(COUNTIF(Clients!$A$2:$A$51,C220)&lt;&gt;1,"Client à corriger",IF(COUNTIF(Services!$A$2:$A$4,E220)&lt;&gt;1,"Service à corriger",IF(OR(NOT(ISNUMBER(B220)),G220&lt;=0,H220&lt;0,COUNTIF(ListeStatuts,I220)&lt;&gt;1,COUNTIF(ListeFactures,P220)&lt;&gt;1),"Saisie à corriger",IF(AND(I220="Réalisé",OR(H220&lt;=0,B220&gt;Parametres!$B$7)),"Réalisation à vérifier",IF(AND(P220="Émise",OR(Q220="",I220&lt;&gt;"Réalisé")),"Facture à corriger",IF(AND(Q220&lt;&gt;"",COUNTIF($Q$2:$Q$301,Q220)&gt;1),"DOUBLON FACTURE",IF(AND(I220="Réalisé",ABS(G220-H220)&gt;0.001,T220=""),"Écart heures","OK")))))))))</f>
        <v/>
      </c>
      <c r="T220" s="8"/>
    </row>
    <row r="221" spans="1:20" ht="22" customHeight="1">
      <c r="A221" s="8"/>
      <c r="B221" s="6"/>
      <c r="C221" s="8"/>
      <c r="D221" s="9">
        <f>IF(C221="","",IFERROR(VLOOKUP(C221,Clients!$A$2:$M$51,12,FALSE),"CLIENT INCONNU"))</f>
        <v/>
      </c>
      <c r="E221" s="8"/>
      <c r="F221" s="9">
        <f>IF(E221="","",IFERROR(VLOOKUP(E221,Services!$A$2:$D$4,2,FALSE),"SERVICE INCONNU"))</f>
        <v/>
      </c>
      <c r="G221" s="8"/>
      <c r="H221" s="8"/>
      <c r="I221" s="8"/>
      <c r="J221" s="11">
        <f>IF(E221="","",IFERROR(VLOOKUP(E221,Services!$A$2:$D$4,3,FALSE),0))</f>
        <v/>
      </c>
      <c r="K221" s="9">
        <f>IF(C221="","",IFERROR(VLOOKUP(C221,Clients!$A$2:$M$51,11,FALSE),"Non"))</f>
        <v/>
      </c>
      <c r="L221" s="12">
        <f>IF(A221="","",IF(I221&lt;&gt;"Réalisé",0,IF(E221&lt;&gt;"Sexologie",0,IF(K221&lt;&gt;"Oui",0,IF(AND(B221&gt;=Parametres!$B$2,B221&lt;=Parametres!$B$3),Parametres!$B$5,0)))))</f>
        <v/>
      </c>
      <c r="M221" s="11">
        <f>IF(A221="","",IF(I221="Réalisé",ROUND(H221*J221,2),0))</f>
        <v/>
      </c>
      <c r="N221" s="11">
        <f>IF(A221="","",ROUND(M221*L221,2))</f>
        <v/>
      </c>
      <c r="O221" s="11">
        <f>IF(A221="","",ROUND(M221-N221,2))</f>
        <v/>
      </c>
      <c r="P221" s="8"/>
      <c r="Q221" s="8"/>
      <c r="R221" s="13">
        <f>IF(A221="","",IF(I221="Réalisé",H221,0))</f>
        <v/>
      </c>
      <c r="S221" s="9">
        <f>IF(A221="","",IF(COUNTIF($A$2:$A$301,A221)&gt;1,"DOUBLON RDV",IF(COUNTIF(Clients!$A$2:$A$51,C221)&lt;&gt;1,"Client à corriger",IF(COUNTIF(Services!$A$2:$A$4,E221)&lt;&gt;1,"Service à corriger",IF(OR(NOT(ISNUMBER(B221)),G221&lt;=0,H221&lt;0,COUNTIF(ListeStatuts,I221)&lt;&gt;1,COUNTIF(ListeFactures,P221)&lt;&gt;1),"Saisie à corriger",IF(AND(I221="Réalisé",OR(H221&lt;=0,B221&gt;Parametres!$B$7)),"Réalisation à vérifier",IF(AND(P221="Émise",OR(Q221="",I221&lt;&gt;"Réalisé")),"Facture à corriger",IF(AND(Q221&lt;&gt;"",COUNTIF($Q$2:$Q$301,Q221)&gt;1),"DOUBLON FACTURE",IF(AND(I221="Réalisé",ABS(G221-H221)&gt;0.001,T221=""),"Écart heures","OK")))))))))</f>
        <v/>
      </c>
      <c r="T221" s="8"/>
    </row>
    <row r="222" spans="1:20" ht="22" customHeight="1">
      <c r="A222" s="8"/>
      <c r="B222" s="6"/>
      <c r="C222" s="8"/>
      <c r="D222" s="9">
        <f>IF(C222="","",IFERROR(VLOOKUP(C222,Clients!$A$2:$M$51,12,FALSE),"CLIENT INCONNU"))</f>
        <v/>
      </c>
      <c r="E222" s="8"/>
      <c r="F222" s="9">
        <f>IF(E222="","",IFERROR(VLOOKUP(E222,Services!$A$2:$D$4,2,FALSE),"SERVICE INCONNU"))</f>
        <v/>
      </c>
      <c r="G222" s="8"/>
      <c r="H222" s="8"/>
      <c r="I222" s="8"/>
      <c r="J222" s="11">
        <f>IF(E222="","",IFERROR(VLOOKUP(E222,Services!$A$2:$D$4,3,FALSE),0))</f>
        <v/>
      </c>
      <c r="K222" s="9">
        <f>IF(C222="","",IFERROR(VLOOKUP(C222,Clients!$A$2:$M$51,11,FALSE),"Non"))</f>
        <v/>
      </c>
      <c r="L222" s="12">
        <f>IF(A222="","",IF(I222&lt;&gt;"Réalisé",0,IF(E222&lt;&gt;"Sexologie",0,IF(K222&lt;&gt;"Oui",0,IF(AND(B222&gt;=Parametres!$B$2,B222&lt;=Parametres!$B$3),Parametres!$B$5,0)))))</f>
        <v/>
      </c>
      <c r="M222" s="11">
        <f>IF(A222="","",IF(I222="Réalisé",ROUND(H222*J222,2),0))</f>
        <v/>
      </c>
      <c r="N222" s="11">
        <f>IF(A222="","",ROUND(M222*L222,2))</f>
        <v/>
      </c>
      <c r="O222" s="11">
        <f>IF(A222="","",ROUND(M222-N222,2))</f>
        <v/>
      </c>
      <c r="P222" s="8"/>
      <c r="Q222" s="8"/>
      <c r="R222" s="13">
        <f>IF(A222="","",IF(I222="Réalisé",H222,0))</f>
        <v/>
      </c>
      <c r="S222" s="9">
        <f>IF(A222="","",IF(COUNTIF($A$2:$A$301,A222)&gt;1,"DOUBLON RDV",IF(COUNTIF(Clients!$A$2:$A$51,C222)&lt;&gt;1,"Client à corriger",IF(COUNTIF(Services!$A$2:$A$4,E222)&lt;&gt;1,"Service à corriger",IF(OR(NOT(ISNUMBER(B222)),G222&lt;=0,H222&lt;0,COUNTIF(ListeStatuts,I222)&lt;&gt;1,COUNTIF(ListeFactures,P222)&lt;&gt;1),"Saisie à corriger",IF(AND(I222="Réalisé",OR(H222&lt;=0,B222&gt;Parametres!$B$7)),"Réalisation à vérifier",IF(AND(P222="Émise",OR(Q222="",I222&lt;&gt;"Réalisé")),"Facture à corriger",IF(AND(Q222&lt;&gt;"",COUNTIF($Q$2:$Q$301,Q222)&gt;1),"DOUBLON FACTURE",IF(AND(I222="Réalisé",ABS(G222-H222)&gt;0.001,T222=""),"Écart heures","OK")))))))))</f>
        <v/>
      </c>
      <c r="T222" s="8"/>
    </row>
    <row r="223" spans="1:20" ht="22" customHeight="1">
      <c r="A223" s="8"/>
      <c r="B223" s="6"/>
      <c r="C223" s="8"/>
      <c r="D223" s="9">
        <f>IF(C223="","",IFERROR(VLOOKUP(C223,Clients!$A$2:$M$51,12,FALSE),"CLIENT INCONNU"))</f>
        <v/>
      </c>
      <c r="E223" s="8"/>
      <c r="F223" s="9">
        <f>IF(E223="","",IFERROR(VLOOKUP(E223,Services!$A$2:$D$4,2,FALSE),"SERVICE INCONNU"))</f>
        <v/>
      </c>
      <c r="G223" s="8"/>
      <c r="H223" s="8"/>
      <c r="I223" s="8"/>
      <c r="J223" s="11">
        <f>IF(E223="","",IFERROR(VLOOKUP(E223,Services!$A$2:$D$4,3,FALSE),0))</f>
        <v/>
      </c>
      <c r="K223" s="9">
        <f>IF(C223="","",IFERROR(VLOOKUP(C223,Clients!$A$2:$M$51,11,FALSE),"Non"))</f>
        <v/>
      </c>
      <c r="L223" s="12">
        <f>IF(A223="","",IF(I223&lt;&gt;"Réalisé",0,IF(E223&lt;&gt;"Sexologie",0,IF(K223&lt;&gt;"Oui",0,IF(AND(B223&gt;=Parametres!$B$2,B223&lt;=Parametres!$B$3),Parametres!$B$5,0)))))</f>
        <v/>
      </c>
      <c r="M223" s="11">
        <f>IF(A223="","",IF(I223="Réalisé",ROUND(H223*J223,2),0))</f>
        <v/>
      </c>
      <c r="N223" s="11">
        <f>IF(A223="","",ROUND(M223*L223,2))</f>
        <v/>
      </c>
      <c r="O223" s="11">
        <f>IF(A223="","",ROUND(M223-N223,2))</f>
        <v/>
      </c>
      <c r="P223" s="8"/>
      <c r="Q223" s="8"/>
      <c r="R223" s="13">
        <f>IF(A223="","",IF(I223="Réalisé",H223,0))</f>
        <v/>
      </c>
      <c r="S223" s="9">
        <f>IF(A223="","",IF(COUNTIF($A$2:$A$301,A223)&gt;1,"DOUBLON RDV",IF(COUNTIF(Clients!$A$2:$A$51,C223)&lt;&gt;1,"Client à corriger",IF(COUNTIF(Services!$A$2:$A$4,E223)&lt;&gt;1,"Service à corriger",IF(OR(NOT(ISNUMBER(B223)),G223&lt;=0,H223&lt;0,COUNTIF(ListeStatuts,I223)&lt;&gt;1,COUNTIF(ListeFactures,P223)&lt;&gt;1),"Saisie à corriger",IF(AND(I223="Réalisé",OR(H223&lt;=0,B223&gt;Parametres!$B$7)),"Réalisation à vérifier",IF(AND(P223="Émise",OR(Q223="",I223&lt;&gt;"Réalisé")),"Facture à corriger",IF(AND(Q223&lt;&gt;"",COUNTIF($Q$2:$Q$301,Q223)&gt;1),"DOUBLON FACTURE",IF(AND(I223="Réalisé",ABS(G223-H223)&gt;0.001,T223=""),"Écart heures","OK")))))))))</f>
        <v/>
      </c>
      <c r="T223" s="8"/>
    </row>
    <row r="224" spans="1:20" ht="22" customHeight="1">
      <c r="A224" s="8"/>
      <c r="B224" s="6"/>
      <c r="C224" s="8"/>
      <c r="D224" s="9">
        <f>IF(C224="","",IFERROR(VLOOKUP(C224,Clients!$A$2:$M$51,12,FALSE),"CLIENT INCONNU"))</f>
        <v/>
      </c>
      <c r="E224" s="8"/>
      <c r="F224" s="9">
        <f>IF(E224="","",IFERROR(VLOOKUP(E224,Services!$A$2:$D$4,2,FALSE),"SERVICE INCONNU"))</f>
        <v/>
      </c>
      <c r="G224" s="8"/>
      <c r="H224" s="8"/>
      <c r="I224" s="8"/>
      <c r="J224" s="11">
        <f>IF(E224="","",IFERROR(VLOOKUP(E224,Services!$A$2:$D$4,3,FALSE),0))</f>
        <v/>
      </c>
      <c r="K224" s="9">
        <f>IF(C224="","",IFERROR(VLOOKUP(C224,Clients!$A$2:$M$51,11,FALSE),"Non"))</f>
        <v/>
      </c>
      <c r="L224" s="12">
        <f>IF(A224="","",IF(I224&lt;&gt;"Réalisé",0,IF(E224&lt;&gt;"Sexologie",0,IF(K224&lt;&gt;"Oui",0,IF(AND(B224&gt;=Parametres!$B$2,B224&lt;=Parametres!$B$3),Parametres!$B$5,0)))))</f>
        <v/>
      </c>
      <c r="M224" s="11">
        <f>IF(A224="","",IF(I224="Réalisé",ROUND(H224*J224,2),0))</f>
        <v/>
      </c>
      <c r="N224" s="11">
        <f>IF(A224="","",ROUND(M224*L224,2))</f>
        <v/>
      </c>
      <c r="O224" s="11">
        <f>IF(A224="","",ROUND(M224-N224,2))</f>
        <v/>
      </c>
      <c r="P224" s="8"/>
      <c r="Q224" s="8"/>
      <c r="R224" s="13">
        <f>IF(A224="","",IF(I224="Réalisé",H224,0))</f>
        <v/>
      </c>
      <c r="S224" s="9">
        <f>IF(A224="","",IF(COUNTIF($A$2:$A$301,A224)&gt;1,"DOUBLON RDV",IF(COUNTIF(Clients!$A$2:$A$51,C224)&lt;&gt;1,"Client à corriger",IF(COUNTIF(Services!$A$2:$A$4,E224)&lt;&gt;1,"Service à corriger",IF(OR(NOT(ISNUMBER(B224)),G224&lt;=0,H224&lt;0,COUNTIF(ListeStatuts,I224)&lt;&gt;1,COUNTIF(ListeFactures,P224)&lt;&gt;1),"Saisie à corriger",IF(AND(I224="Réalisé",OR(H224&lt;=0,B224&gt;Parametres!$B$7)),"Réalisation à vérifier",IF(AND(P224="Émise",OR(Q224="",I224&lt;&gt;"Réalisé")),"Facture à corriger",IF(AND(Q224&lt;&gt;"",COUNTIF($Q$2:$Q$301,Q224)&gt;1),"DOUBLON FACTURE",IF(AND(I224="Réalisé",ABS(G224-H224)&gt;0.001,T224=""),"Écart heures","OK")))))))))</f>
        <v/>
      </c>
      <c r="T224" s="8"/>
    </row>
    <row r="225" spans="1:20" ht="22" customHeight="1">
      <c r="A225" s="8"/>
      <c r="B225" s="6"/>
      <c r="C225" s="8"/>
      <c r="D225" s="9">
        <f>IF(C225="","",IFERROR(VLOOKUP(C225,Clients!$A$2:$M$51,12,FALSE),"CLIENT INCONNU"))</f>
        <v/>
      </c>
      <c r="E225" s="8"/>
      <c r="F225" s="9">
        <f>IF(E225="","",IFERROR(VLOOKUP(E225,Services!$A$2:$D$4,2,FALSE),"SERVICE INCONNU"))</f>
        <v/>
      </c>
      <c r="G225" s="8"/>
      <c r="H225" s="8"/>
      <c r="I225" s="8"/>
      <c r="J225" s="11">
        <f>IF(E225="","",IFERROR(VLOOKUP(E225,Services!$A$2:$D$4,3,FALSE),0))</f>
        <v/>
      </c>
      <c r="K225" s="9">
        <f>IF(C225="","",IFERROR(VLOOKUP(C225,Clients!$A$2:$M$51,11,FALSE),"Non"))</f>
        <v/>
      </c>
      <c r="L225" s="12">
        <f>IF(A225="","",IF(I225&lt;&gt;"Réalisé",0,IF(E225&lt;&gt;"Sexologie",0,IF(K225&lt;&gt;"Oui",0,IF(AND(B225&gt;=Parametres!$B$2,B225&lt;=Parametres!$B$3),Parametres!$B$5,0)))))</f>
        <v/>
      </c>
      <c r="M225" s="11">
        <f>IF(A225="","",IF(I225="Réalisé",ROUND(H225*J225,2),0))</f>
        <v/>
      </c>
      <c r="N225" s="11">
        <f>IF(A225="","",ROUND(M225*L225,2))</f>
        <v/>
      </c>
      <c r="O225" s="11">
        <f>IF(A225="","",ROUND(M225-N225,2))</f>
        <v/>
      </c>
      <c r="P225" s="8"/>
      <c r="Q225" s="8"/>
      <c r="R225" s="13">
        <f>IF(A225="","",IF(I225="Réalisé",H225,0))</f>
        <v/>
      </c>
      <c r="S225" s="9">
        <f>IF(A225="","",IF(COUNTIF($A$2:$A$301,A225)&gt;1,"DOUBLON RDV",IF(COUNTIF(Clients!$A$2:$A$51,C225)&lt;&gt;1,"Client à corriger",IF(COUNTIF(Services!$A$2:$A$4,E225)&lt;&gt;1,"Service à corriger",IF(OR(NOT(ISNUMBER(B225)),G225&lt;=0,H225&lt;0,COUNTIF(ListeStatuts,I225)&lt;&gt;1,COUNTIF(ListeFactures,P225)&lt;&gt;1),"Saisie à corriger",IF(AND(I225="Réalisé",OR(H225&lt;=0,B225&gt;Parametres!$B$7)),"Réalisation à vérifier",IF(AND(P225="Émise",OR(Q225="",I225&lt;&gt;"Réalisé")),"Facture à corriger",IF(AND(Q225&lt;&gt;"",COUNTIF($Q$2:$Q$301,Q225)&gt;1),"DOUBLON FACTURE",IF(AND(I225="Réalisé",ABS(G225-H225)&gt;0.001,T225=""),"Écart heures","OK")))))))))</f>
        <v/>
      </c>
      <c r="T225" s="8"/>
    </row>
    <row r="226" spans="1:20" ht="22" customHeight="1">
      <c r="A226" s="8"/>
      <c r="B226" s="6"/>
      <c r="C226" s="8"/>
      <c r="D226" s="9">
        <f>IF(C226="","",IFERROR(VLOOKUP(C226,Clients!$A$2:$M$51,12,FALSE),"CLIENT INCONNU"))</f>
        <v/>
      </c>
      <c r="E226" s="8"/>
      <c r="F226" s="9">
        <f>IF(E226="","",IFERROR(VLOOKUP(E226,Services!$A$2:$D$4,2,FALSE),"SERVICE INCONNU"))</f>
        <v/>
      </c>
      <c r="G226" s="8"/>
      <c r="H226" s="8"/>
      <c r="I226" s="8"/>
      <c r="J226" s="11">
        <f>IF(E226="","",IFERROR(VLOOKUP(E226,Services!$A$2:$D$4,3,FALSE),0))</f>
        <v/>
      </c>
      <c r="K226" s="9">
        <f>IF(C226="","",IFERROR(VLOOKUP(C226,Clients!$A$2:$M$51,11,FALSE),"Non"))</f>
        <v/>
      </c>
      <c r="L226" s="12">
        <f>IF(A226="","",IF(I226&lt;&gt;"Réalisé",0,IF(E226&lt;&gt;"Sexologie",0,IF(K226&lt;&gt;"Oui",0,IF(AND(B226&gt;=Parametres!$B$2,B226&lt;=Parametres!$B$3),Parametres!$B$5,0)))))</f>
        <v/>
      </c>
      <c r="M226" s="11">
        <f>IF(A226="","",IF(I226="Réalisé",ROUND(H226*J226,2),0))</f>
        <v/>
      </c>
      <c r="N226" s="11">
        <f>IF(A226="","",ROUND(M226*L226,2))</f>
        <v/>
      </c>
      <c r="O226" s="11">
        <f>IF(A226="","",ROUND(M226-N226,2))</f>
        <v/>
      </c>
      <c r="P226" s="8"/>
      <c r="Q226" s="8"/>
      <c r="R226" s="13">
        <f>IF(A226="","",IF(I226="Réalisé",H226,0))</f>
        <v/>
      </c>
      <c r="S226" s="9">
        <f>IF(A226="","",IF(COUNTIF($A$2:$A$301,A226)&gt;1,"DOUBLON RDV",IF(COUNTIF(Clients!$A$2:$A$51,C226)&lt;&gt;1,"Client à corriger",IF(COUNTIF(Services!$A$2:$A$4,E226)&lt;&gt;1,"Service à corriger",IF(OR(NOT(ISNUMBER(B226)),G226&lt;=0,H226&lt;0,COUNTIF(ListeStatuts,I226)&lt;&gt;1,COUNTIF(ListeFactures,P226)&lt;&gt;1),"Saisie à corriger",IF(AND(I226="Réalisé",OR(H226&lt;=0,B226&gt;Parametres!$B$7)),"Réalisation à vérifier",IF(AND(P226="Émise",OR(Q226="",I226&lt;&gt;"Réalisé")),"Facture à corriger",IF(AND(Q226&lt;&gt;"",COUNTIF($Q$2:$Q$301,Q226)&gt;1),"DOUBLON FACTURE",IF(AND(I226="Réalisé",ABS(G226-H226)&gt;0.001,T226=""),"Écart heures","OK")))))))))</f>
        <v/>
      </c>
      <c r="T226" s="8"/>
    </row>
    <row r="227" spans="1:20" ht="22" customHeight="1">
      <c r="A227" s="8"/>
      <c r="B227" s="6"/>
      <c r="C227" s="8"/>
      <c r="D227" s="9">
        <f>IF(C227="","",IFERROR(VLOOKUP(C227,Clients!$A$2:$M$51,12,FALSE),"CLIENT INCONNU"))</f>
        <v/>
      </c>
      <c r="E227" s="8"/>
      <c r="F227" s="9">
        <f>IF(E227="","",IFERROR(VLOOKUP(E227,Services!$A$2:$D$4,2,FALSE),"SERVICE INCONNU"))</f>
        <v/>
      </c>
      <c r="G227" s="8"/>
      <c r="H227" s="8"/>
      <c r="I227" s="8"/>
      <c r="J227" s="11">
        <f>IF(E227="","",IFERROR(VLOOKUP(E227,Services!$A$2:$D$4,3,FALSE),0))</f>
        <v/>
      </c>
      <c r="K227" s="9">
        <f>IF(C227="","",IFERROR(VLOOKUP(C227,Clients!$A$2:$M$51,11,FALSE),"Non"))</f>
        <v/>
      </c>
      <c r="L227" s="12">
        <f>IF(A227="","",IF(I227&lt;&gt;"Réalisé",0,IF(E227&lt;&gt;"Sexologie",0,IF(K227&lt;&gt;"Oui",0,IF(AND(B227&gt;=Parametres!$B$2,B227&lt;=Parametres!$B$3),Parametres!$B$5,0)))))</f>
        <v/>
      </c>
      <c r="M227" s="11">
        <f>IF(A227="","",IF(I227="Réalisé",ROUND(H227*J227,2),0))</f>
        <v/>
      </c>
      <c r="N227" s="11">
        <f>IF(A227="","",ROUND(M227*L227,2))</f>
        <v/>
      </c>
      <c r="O227" s="11">
        <f>IF(A227="","",ROUND(M227-N227,2))</f>
        <v/>
      </c>
      <c r="P227" s="8"/>
      <c r="Q227" s="8"/>
      <c r="R227" s="13">
        <f>IF(A227="","",IF(I227="Réalisé",H227,0))</f>
        <v/>
      </c>
      <c r="S227" s="9">
        <f>IF(A227="","",IF(COUNTIF($A$2:$A$301,A227)&gt;1,"DOUBLON RDV",IF(COUNTIF(Clients!$A$2:$A$51,C227)&lt;&gt;1,"Client à corriger",IF(COUNTIF(Services!$A$2:$A$4,E227)&lt;&gt;1,"Service à corriger",IF(OR(NOT(ISNUMBER(B227)),G227&lt;=0,H227&lt;0,COUNTIF(ListeStatuts,I227)&lt;&gt;1,COUNTIF(ListeFactures,P227)&lt;&gt;1),"Saisie à corriger",IF(AND(I227="Réalisé",OR(H227&lt;=0,B227&gt;Parametres!$B$7)),"Réalisation à vérifier",IF(AND(P227="Émise",OR(Q227="",I227&lt;&gt;"Réalisé")),"Facture à corriger",IF(AND(Q227&lt;&gt;"",COUNTIF($Q$2:$Q$301,Q227)&gt;1),"DOUBLON FACTURE",IF(AND(I227="Réalisé",ABS(G227-H227)&gt;0.001,T227=""),"Écart heures","OK")))))))))</f>
        <v/>
      </c>
      <c r="T227" s="8"/>
    </row>
    <row r="228" spans="1:20" ht="22" customHeight="1">
      <c r="A228" s="8"/>
      <c r="B228" s="6"/>
      <c r="C228" s="8"/>
      <c r="D228" s="9">
        <f>IF(C228="","",IFERROR(VLOOKUP(C228,Clients!$A$2:$M$51,12,FALSE),"CLIENT INCONNU"))</f>
        <v/>
      </c>
      <c r="E228" s="8"/>
      <c r="F228" s="9">
        <f>IF(E228="","",IFERROR(VLOOKUP(E228,Services!$A$2:$D$4,2,FALSE),"SERVICE INCONNU"))</f>
        <v/>
      </c>
      <c r="G228" s="8"/>
      <c r="H228" s="8"/>
      <c r="I228" s="8"/>
      <c r="J228" s="11">
        <f>IF(E228="","",IFERROR(VLOOKUP(E228,Services!$A$2:$D$4,3,FALSE),0))</f>
        <v/>
      </c>
      <c r="K228" s="9">
        <f>IF(C228="","",IFERROR(VLOOKUP(C228,Clients!$A$2:$M$51,11,FALSE),"Non"))</f>
        <v/>
      </c>
      <c r="L228" s="12">
        <f>IF(A228="","",IF(I228&lt;&gt;"Réalisé",0,IF(E228&lt;&gt;"Sexologie",0,IF(K228&lt;&gt;"Oui",0,IF(AND(B228&gt;=Parametres!$B$2,B228&lt;=Parametres!$B$3),Parametres!$B$5,0)))))</f>
        <v/>
      </c>
      <c r="M228" s="11">
        <f>IF(A228="","",IF(I228="Réalisé",ROUND(H228*J228,2),0))</f>
        <v/>
      </c>
      <c r="N228" s="11">
        <f>IF(A228="","",ROUND(M228*L228,2))</f>
        <v/>
      </c>
      <c r="O228" s="11">
        <f>IF(A228="","",ROUND(M228-N228,2))</f>
        <v/>
      </c>
      <c r="P228" s="8"/>
      <c r="Q228" s="8"/>
      <c r="R228" s="13">
        <f>IF(A228="","",IF(I228="Réalisé",H228,0))</f>
        <v/>
      </c>
      <c r="S228" s="9">
        <f>IF(A228="","",IF(COUNTIF($A$2:$A$301,A228)&gt;1,"DOUBLON RDV",IF(COUNTIF(Clients!$A$2:$A$51,C228)&lt;&gt;1,"Client à corriger",IF(COUNTIF(Services!$A$2:$A$4,E228)&lt;&gt;1,"Service à corriger",IF(OR(NOT(ISNUMBER(B228)),G228&lt;=0,H228&lt;0,COUNTIF(ListeStatuts,I228)&lt;&gt;1,COUNTIF(ListeFactures,P228)&lt;&gt;1),"Saisie à corriger",IF(AND(I228="Réalisé",OR(H228&lt;=0,B228&gt;Parametres!$B$7)),"Réalisation à vérifier",IF(AND(P228="Émise",OR(Q228="",I228&lt;&gt;"Réalisé")),"Facture à corriger",IF(AND(Q228&lt;&gt;"",COUNTIF($Q$2:$Q$301,Q228)&gt;1),"DOUBLON FACTURE",IF(AND(I228="Réalisé",ABS(G228-H228)&gt;0.001,T228=""),"Écart heures","OK")))))))))</f>
        <v/>
      </c>
      <c r="T228" s="8"/>
    </row>
    <row r="229" spans="1:20" ht="22" customHeight="1">
      <c r="A229" s="8"/>
      <c r="B229" s="6"/>
      <c r="C229" s="8"/>
      <c r="D229" s="9">
        <f>IF(C229="","",IFERROR(VLOOKUP(C229,Clients!$A$2:$M$51,12,FALSE),"CLIENT INCONNU"))</f>
        <v/>
      </c>
      <c r="E229" s="8"/>
      <c r="F229" s="9">
        <f>IF(E229="","",IFERROR(VLOOKUP(E229,Services!$A$2:$D$4,2,FALSE),"SERVICE INCONNU"))</f>
        <v/>
      </c>
      <c r="G229" s="8"/>
      <c r="H229" s="8"/>
      <c r="I229" s="8"/>
      <c r="J229" s="11">
        <f>IF(E229="","",IFERROR(VLOOKUP(E229,Services!$A$2:$D$4,3,FALSE),0))</f>
        <v/>
      </c>
      <c r="K229" s="9">
        <f>IF(C229="","",IFERROR(VLOOKUP(C229,Clients!$A$2:$M$51,11,FALSE),"Non"))</f>
        <v/>
      </c>
      <c r="L229" s="12">
        <f>IF(A229="","",IF(I229&lt;&gt;"Réalisé",0,IF(E229&lt;&gt;"Sexologie",0,IF(K229&lt;&gt;"Oui",0,IF(AND(B229&gt;=Parametres!$B$2,B229&lt;=Parametres!$B$3),Parametres!$B$5,0)))))</f>
        <v/>
      </c>
      <c r="M229" s="11">
        <f>IF(A229="","",IF(I229="Réalisé",ROUND(H229*J229,2),0))</f>
        <v/>
      </c>
      <c r="N229" s="11">
        <f>IF(A229="","",ROUND(M229*L229,2))</f>
        <v/>
      </c>
      <c r="O229" s="11">
        <f>IF(A229="","",ROUND(M229-N229,2))</f>
        <v/>
      </c>
      <c r="P229" s="8"/>
      <c r="Q229" s="8"/>
      <c r="R229" s="13">
        <f>IF(A229="","",IF(I229="Réalisé",H229,0))</f>
        <v/>
      </c>
      <c r="S229" s="9">
        <f>IF(A229="","",IF(COUNTIF($A$2:$A$301,A229)&gt;1,"DOUBLON RDV",IF(COUNTIF(Clients!$A$2:$A$51,C229)&lt;&gt;1,"Client à corriger",IF(COUNTIF(Services!$A$2:$A$4,E229)&lt;&gt;1,"Service à corriger",IF(OR(NOT(ISNUMBER(B229)),G229&lt;=0,H229&lt;0,COUNTIF(ListeStatuts,I229)&lt;&gt;1,COUNTIF(ListeFactures,P229)&lt;&gt;1),"Saisie à corriger",IF(AND(I229="Réalisé",OR(H229&lt;=0,B229&gt;Parametres!$B$7)),"Réalisation à vérifier",IF(AND(P229="Émise",OR(Q229="",I229&lt;&gt;"Réalisé")),"Facture à corriger",IF(AND(Q229&lt;&gt;"",COUNTIF($Q$2:$Q$301,Q229)&gt;1),"DOUBLON FACTURE",IF(AND(I229="Réalisé",ABS(G229-H229)&gt;0.001,T229=""),"Écart heures","OK")))))))))</f>
        <v/>
      </c>
      <c r="T229" s="8"/>
    </row>
    <row r="230" spans="1:20" ht="22" customHeight="1">
      <c r="A230" s="8"/>
      <c r="B230" s="6"/>
      <c r="C230" s="8"/>
      <c r="D230" s="9">
        <f>IF(C230="","",IFERROR(VLOOKUP(C230,Clients!$A$2:$M$51,12,FALSE),"CLIENT INCONNU"))</f>
        <v/>
      </c>
      <c r="E230" s="8"/>
      <c r="F230" s="9">
        <f>IF(E230="","",IFERROR(VLOOKUP(E230,Services!$A$2:$D$4,2,FALSE),"SERVICE INCONNU"))</f>
        <v/>
      </c>
      <c r="G230" s="8"/>
      <c r="H230" s="8"/>
      <c r="I230" s="8"/>
      <c r="J230" s="11">
        <f>IF(E230="","",IFERROR(VLOOKUP(E230,Services!$A$2:$D$4,3,FALSE),0))</f>
        <v/>
      </c>
      <c r="K230" s="9">
        <f>IF(C230="","",IFERROR(VLOOKUP(C230,Clients!$A$2:$M$51,11,FALSE),"Non"))</f>
        <v/>
      </c>
      <c r="L230" s="12">
        <f>IF(A230="","",IF(I230&lt;&gt;"Réalisé",0,IF(E230&lt;&gt;"Sexologie",0,IF(K230&lt;&gt;"Oui",0,IF(AND(B230&gt;=Parametres!$B$2,B230&lt;=Parametres!$B$3),Parametres!$B$5,0)))))</f>
        <v/>
      </c>
      <c r="M230" s="11">
        <f>IF(A230="","",IF(I230="Réalisé",ROUND(H230*J230,2),0))</f>
        <v/>
      </c>
      <c r="N230" s="11">
        <f>IF(A230="","",ROUND(M230*L230,2))</f>
        <v/>
      </c>
      <c r="O230" s="11">
        <f>IF(A230="","",ROUND(M230-N230,2))</f>
        <v/>
      </c>
      <c r="P230" s="8"/>
      <c r="Q230" s="8"/>
      <c r="R230" s="13">
        <f>IF(A230="","",IF(I230="Réalisé",H230,0))</f>
        <v/>
      </c>
      <c r="S230" s="9">
        <f>IF(A230="","",IF(COUNTIF($A$2:$A$301,A230)&gt;1,"DOUBLON RDV",IF(COUNTIF(Clients!$A$2:$A$51,C230)&lt;&gt;1,"Client à corriger",IF(COUNTIF(Services!$A$2:$A$4,E230)&lt;&gt;1,"Service à corriger",IF(OR(NOT(ISNUMBER(B230)),G230&lt;=0,H230&lt;0,COUNTIF(ListeStatuts,I230)&lt;&gt;1,COUNTIF(ListeFactures,P230)&lt;&gt;1),"Saisie à corriger",IF(AND(I230="Réalisé",OR(H230&lt;=0,B230&gt;Parametres!$B$7)),"Réalisation à vérifier",IF(AND(P230="Émise",OR(Q230="",I230&lt;&gt;"Réalisé")),"Facture à corriger",IF(AND(Q230&lt;&gt;"",COUNTIF($Q$2:$Q$301,Q230)&gt;1),"DOUBLON FACTURE",IF(AND(I230="Réalisé",ABS(G230-H230)&gt;0.001,T230=""),"Écart heures","OK")))))))))</f>
        <v/>
      </c>
      <c r="T230" s="8"/>
    </row>
    <row r="231" spans="1:20" ht="22" customHeight="1">
      <c r="A231" s="8"/>
      <c r="B231" s="6"/>
      <c r="C231" s="8"/>
      <c r="D231" s="9">
        <f>IF(C231="","",IFERROR(VLOOKUP(C231,Clients!$A$2:$M$51,12,FALSE),"CLIENT INCONNU"))</f>
        <v/>
      </c>
      <c r="E231" s="8"/>
      <c r="F231" s="9">
        <f>IF(E231="","",IFERROR(VLOOKUP(E231,Services!$A$2:$D$4,2,FALSE),"SERVICE INCONNU"))</f>
        <v/>
      </c>
      <c r="G231" s="8"/>
      <c r="H231" s="8"/>
      <c r="I231" s="8"/>
      <c r="J231" s="11">
        <f>IF(E231="","",IFERROR(VLOOKUP(E231,Services!$A$2:$D$4,3,FALSE),0))</f>
        <v/>
      </c>
      <c r="K231" s="9">
        <f>IF(C231="","",IFERROR(VLOOKUP(C231,Clients!$A$2:$M$51,11,FALSE),"Non"))</f>
        <v/>
      </c>
      <c r="L231" s="12">
        <f>IF(A231="","",IF(I231&lt;&gt;"Réalisé",0,IF(E231&lt;&gt;"Sexologie",0,IF(K231&lt;&gt;"Oui",0,IF(AND(B231&gt;=Parametres!$B$2,B231&lt;=Parametres!$B$3),Parametres!$B$5,0)))))</f>
        <v/>
      </c>
      <c r="M231" s="11">
        <f>IF(A231="","",IF(I231="Réalisé",ROUND(H231*J231,2),0))</f>
        <v/>
      </c>
      <c r="N231" s="11">
        <f>IF(A231="","",ROUND(M231*L231,2))</f>
        <v/>
      </c>
      <c r="O231" s="11">
        <f>IF(A231="","",ROUND(M231-N231,2))</f>
        <v/>
      </c>
      <c r="P231" s="8"/>
      <c r="Q231" s="8"/>
      <c r="R231" s="13">
        <f>IF(A231="","",IF(I231="Réalisé",H231,0))</f>
        <v/>
      </c>
      <c r="S231" s="9">
        <f>IF(A231="","",IF(COUNTIF($A$2:$A$301,A231)&gt;1,"DOUBLON RDV",IF(COUNTIF(Clients!$A$2:$A$51,C231)&lt;&gt;1,"Client à corriger",IF(COUNTIF(Services!$A$2:$A$4,E231)&lt;&gt;1,"Service à corriger",IF(OR(NOT(ISNUMBER(B231)),G231&lt;=0,H231&lt;0,COUNTIF(ListeStatuts,I231)&lt;&gt;1,COUNTIF(ListeFactures,P231)&lt;&gt;1),"Saisie à corriger",IF(AND(I231="Réalisé",OR(H231&lt;=0,B231&gt;Parametres!$B$7)),"Réalisation à vérifier",IF(AND(P231="Émise",OR(Q231="",I231&lt;&gt;"Réalisé")),"Facture à corriger",IF(AND(Q231&lt;&gt;"",COUNTIF($Q$2:$Q$301,Q231)&gt;1),"DOUBLON FACTURE",IF(AND(I231="Réalisé",ABS(G231-H231)&gt;0.001,T231=""),"Écart heures","OK")))))))))</f>
        <v/>
      </c>
      <c r="T231" s="8"/>
    </row>
    <row r="232" spans="1:20" ht="22" customHeight="1">
      <c r="A232" s="8"/>
      <c r="B232" s="6"/>
      <c r="C232" s="8"/>
      <c r="D232" s="9">
        <f>IF(C232="","",IFERROR(VLOOKUP(C232,Clients!$A$2:$M$51,12,FALSE),"CLIENT INCONNU"))</f>
        <v/>
      </c>
      <c r="E232" s="8"/>
      <c r="F232" s="9">
        <f>IF(E232="","",IFERROR(VLOOKUP(E232,Services!$A$2:$D$4,2,FALSE),"SERVICE INCONNU"))</f>
        <v/>
      </c>
      <c r="G232" s="8"/>
      <c r="H232" s="8"/>
      <c r="I232" s="8"/>
      <c r="J232" s="11">
        <f>IF(E232="","",IFERROR(VLOOKUP(E232,Services!$A$2:$D$4,3,FALSE),0))</f>
        <v/>
      </c>
      <c r="K232" s="9">
        <f>IF(C232="","",IFERROR(VLOOKUP(C232,Clients!$A$2:$M$51,11,FALSE),"Non"))</f>
        <v/>
      </c>
      <c r="L232" s="12">
        <f>IF(A232="","",IF(I232&lt;&gt;"Réalisé",0,IF(E232&lt;&gt;"Sexologie",0,IF(K232&lt;&gt;"Oui",0,IF(AND(B232&gt;=Parametres!$B$2,B232&lt;=Parametres!$B$3),Parametres!$B$5,0)))))</f>
        <v/>
      </c>
      <c r="M232" s="11">
        <f>IF(A232="","",IF(I232="Réalisé",ROUND(H232*J232,2),0))</f>
        <v/>
      </c>
      <c r="N232" s="11">
        <f>IF(A232="","",ROUND(M232*L232,2))</f>
        <v/>
      </c>
      <c r="O232" s="11">
        <f>IF(A232="","",ROUND(M232-N232,2))</f>
        <v/>
      </c>
      <c r="P232" s="8"/>
      <c r="Q232" s="8"/>
      <c r="R232" s="13">
        <f>IF(A232="","",IF(I232="Réalisé",H232,0))</f>
        <v/>
      </c>
      <c r="S232" s="9">
        <f>IF(A232="","",IF(COUNTIF($A$2:$A$301,A232)&gt;1,"DOUBLON RDV",IF(COUNTIF(Clients!$A$2:$A$51,C232)&lt;&gt;1,"Client à corriger",IF(COUNTIF(Services!$A$2:$A$4,E232)&lt;&gt;1,"Service à corriger",IF(OR(NOT(ISNUMBER(B232)),G232&lt;=0,H232&lt;0,COUNTIF(ListeStatuts,I232)&lt;&gt;1,COUNTIF(ListeFactures,P232)&lt;&gt;1),"Saisie à corriger",IF(AND(I232="Réalisé",OR(H232&lt;=0,B232&gt;Parametres!$B$7)),"Réalisation à vérifier",IF(AND(P232="Émise",OR(Q232="",I232&lt;&gt;"Réalisé")),"Facture à corriger",IF(AND(Q232&lt;&gt;"",COUNTIF($Q$2:$Q$301,Q232)&gt;1),"DOUBLON FACTURE",IF(AND(I232="Réalisé",ABS(G232-H232)&gt;0.001,T232=""),"Écart heures","OK")))))))))</f>
        <v/>
      </c>
      <c r="T232" s="8"/>
    </row>
    <row r="233" spans="1:20" ht="22" customHeight="1">
      <c r="A233" s="8"/>
      <c r="B233" s="6"/>
      <c r="C233" s="8"/>
      <c r="D233" s="9">
        <f>IF(C233="","",IFERROR(VLOOKUP(C233,Clients!$A$2:$M$51,12,FALSE),"CLIENT INCONNU"))</f>
        <v/>
      </c>
      <c r="E233" s="8"/>
      <c r="F233" s="9">
        <f>IF(E233="","",IFERROR(VLOOKUP(E233,Services!$A$2:$D$4,2,FALSE),"SERVICE INCONNU"))</f>
        <v/>
      </c>
      <c r="G233" s="8"/>
      <c r="H233" s="8"/>
      <c r="I233" s="8"/>
      <c r="J233" s="11">
        <f>IF(E233="","",IFERROR(VLOOKUP(E233,Services!$A$2:$D$4,3,FALSE),0))</f>
        <v/>
      </c>
      <c r="K233" s="9">
        <f>IF(C233="","",IFERROR(VLOOKUP(C233,Clients!$A$2:$M$51,11,FALSE),"Non"))</f>
        <v/>
      </c>
      <c r="L233" s="12">
        <f>IF(A233="","",IF(I233&lt;&gt;"Réalisé",0,IF(E233&lt;&gt;"Sexologie",0,IF(K233&lt;&gt;"Oui",0,IF(AND(B233&gt;=Parametres!$B$2,B233&lt;=Parametres!$B$3),Parametres!$B$5,0)))))</f>
        <v/>
      </c>
      <c r="M233" s="11">
        <f>IF(A233="","",IF(I233="Réalisé",ROUND(H233*J233,2),0))</f>
        <v/>
      </c>
      <c r="N233" s="11">
        <f>IF(A233="","",ROUND(M233*L233,2))</f>
        <v/>
      </c>
      <c r="O233" s="11">
        <f>IF(A233="","",ROUND(M233-N233,2))</f>
        <v/>
      </c>
      <c r="P233" s="8"/>
      <c r="Q233" s="8"/>
      <c r="R233" s="13">
        <f>IF(A233="","",IF(I233="Réalisé",H233,0))</f>
        <v/>
      </c>
      <c r="S233" s="9">
        <f>IF(A233="","",IF(COUNTIF($A$2:$A$301,A233)&gt;1,"DOUBLON RDV",IF(COUNTIF(Clients!$A$2:$A$51,C233)&lt;&gt;1,"Client à corriger",IF(COUNTIF(Services!$A$2:$A$4,E233)&lt;&gt;1,"Service à corriger",IF(OR(NOT(ISNUMBER(B233)),G233&lt;=0,H233&lt;0,COUNTIF(ListeStatuts,I233)&lt;&gt;1,COUNTIF(ListeFactures,P233)&lt;&gt;1),"Saisie à corriger",IF(AND(I233="Réalisé",OR(H233&lt;=0,B233&gt;Parametres!$B$7)),"Réalisation à vérifier",IF(AND(P233="Émise",OR(Q233="",I233&lt;&gt;"Réalisé")),"Facture à corriger",IF(AND(Q233&lt;&gt;"",COUNTIF($Q$2:$Q$301,Q233)&gt;1),"DOUBLON FACTURE",IF(AND(I233="Réalisé",ABS(G233-H233)&gt;0.001,T233=""),"Écart heures","OK")))))))))</f>
        <v/>
      </c>
      <c r="T233" s="8"/>
    </row>
    <row r="234" spans="1:20" ht="22" customHeight="1">
      <c r="A234" s="8"/>
      <c r="B234" s="6"/>
      <c r="C234" s="8"/>
      <c r="D234" s="9">
        <f>IF(C234="","",IFERROR(VLOOKUP(C234,Clients!$A$2:$M$51,12,FALSE),"CLIENT INCONNU"))</f>
        <v/>
      </c>
      <c r="E234" s="8"/>
      <c r="F234" s="9">
        <f>IF(E234="","",IFERROR(VLOOKUP(E234,Services!$A$2:$D$4,2,FALSE),"SERVICE INCONNU"))</f>
        <v/>
      </c>
      <c r="G234" s="8"/>
      <c r="H234" s="8"/>
      <c r="I234" s="8"/>
      <c r="J234" s="11">
        <f>IF(E234="","",IFERROR(VLOOKUP(E234,Services!$A$2:$D$4,3,FALSE),0))</f>
        <v/>
      </c>
      <c r="K234" s="9">
        <f>IF(C234="","",IFERROR(VLOOKUP(C234,Clients!$A$2:$M$51,11,FALSE),"Non"))</f>
        <v/>
      </c>
      <c r="L234" s="12">
        <f>IF(A234="","",IF(I234&lt;&gt;"Réalisé",0,IF(E234&lt;&gt;"Sexologie",0,IF(K234&lt;&gt;"Oui",0,IF(AND(B234&gt;=Parametres!$B$2,B234&lt;=Parametres!$B$3),Parametres!$B$5,0)))))</f>
        <v/>
      </c>
      <c r="M234" s="11">
        <f>IF(A234="","",IF(I234="Réalisé",ROUND(H234*J234,2),0))</f>
        <v/>
      </c>
      <c r="N234" s="11">
        <f>IF(A234="","",ROUND(M234*L234,2))</f>
        <v/>
      </c>
      <c r="O234" s="11">
        <f>IF(A234="","",ROUND(M234-N234,2))</f>
        <v/>
      </c>
      <c r="P234" s="8"/>
      <c r="Q234" s="8"/>
      <c r="R234" s="13">
        <f>IF(A234="","",IF(I234="Réalisé",H234,0))</f>
        <v/>
      </c>
      <c r="S234" s="9">
        <f>IF(A234="","",IF(COUNTIF($A$2:$A$301,A234)&gt;1,"DOUBLON RDV",IF(COUNTIF(Clients!$A$2:$A$51,C234)&lt;&gt;1,"Client à corriger",IF(COUNTIF(Services!$A$2:$A$4,E234)&lt;&gt;1,"Service à corriger",IF(OR(NOT(ISNUMBER(B234)),G234&lt;=0,H234&lt;0,COUNTIF(ListeStatuts,I234)&lt;&gt;1,COUNTIF(ListeFactures,P234)&lt;&gt;1),"Saisie à corriger",IF(AND(I234="Réalisé",OR(H234&lt;=0,B234&gt;Parametres!$B$7)),"Réalisation à vérifier",IF(AND(P234="Émise",OR(Q234="",I234&lt;&gt;"Réalisé")),"Facture à corriger",IF(AND(Q234&lt;&gt;"",COUNTIF($Q$2:$Q$301,Q234)&gt;1),"DOUBLON FACTURE",IF(AND(I234="Réalisé",ABS(G234-H234)&gt;0.001,T234=""),"Écart heures","OK")))))))))</f>
        <v/>
      </c>
      <c r="T234" s="8"/>
    </row>
    <row r="235" spans="1:20" ht="22" customHeight="1">
      <c r="A235" s="8"/>
      <c r="B235" s="6"/>
      <c r="C235" s="8"/>
      <c r="D235" s="9">
        <f>IF(C235="","",IFERROR(VLOOKUP(C235,Clients!$A$2:$M$51,12,FALSE),"CLIENT INCONNU"))</f>
        <v/>
      </c>
      <c r="E235" s="8"/>
      <c r="F235" s="9">
        <f>IF(E235="","",IFERROR(VLOOKUP(E235,Services!$A$2:$D$4,2,FALSE),"SERVICE INCONNU"))</f>
        <v/>
      </c>
      <c r="G235" s="8"/>
      <c r="H235" s="8"/>
      <c r="I235" s="8"/>
      <c r="J235" s="11">
        <f>IF(E235="","",IFERROR(VLOOKUP(E235,Services!$A$2:$D$4,3,FALSE),0))</f>
        <v/>
      </c>
      <c r="K235" s="9">
        <f>IF(C235="","",IFERROR(VLOOKUP(C235,Clients!$A$2:$M$51,11,FALSE),"Non"))</f>
        <v/>
      </c>
      <c r="L235" s="12">
        <f>IF(A235="","",IF(I235&lt;&gt;"Réalisé",0,IF(E235&lt;&gt;"Sexologie",0,IF(K235&lt;&gt;"Oui",0,IF(AND(B235&gt;=Parametres!$B$2,B235&lt;=Parametres!$B$3),Parametres!$B$5,0)))))</f>
        <v/>
      </c>
      <c r="M235" s="11">
        <f>IF(A235="","",IF(I235="Réalisé",ROUND(H235*J235,2),0))</f>
        <v/>
      </c>
      <c r="N235" s="11">
        <f>IF(A235="","",ROUND(M235*L235,2))</f>
        <v/>
      </c>
      <c r="O235" s="11">
        <f>IF(A235="","",ROUND(M235-N235,2))</f>
        <v/>
      </c>
      <c r="P235" s="8"/>
      <c r="Q235" s="8"/>
      <c r="R235" s="13">
        <f>IF(A235="","",IF(I235="Réalisé",H235,0))</f>
        <v/>
      </c>
      <c r="S235" s="9">
        <f>IF(A235="","",IF(COUNTIF($A$2:$A$301,A235)&gt;1,"DOUBLON RDV",IF(COUNTIF(Clients!$A$2:$A$51,C235)&lt;&gt;1,"Client à corriger",IF(COUNTIF(Services!$A$2:$A$4,E235)&lt;&gt;1,"Service à corriger",IF(OR(NOT(ISNUMBER(B235)),G235&lt;=0,H235&lt;0,COUNTIF(ListeStatuts,I235)&lt;&gt;1,COUNTIF(ListeFactures,P235)&lt;&gt;1),"Saisie à corriger",IF(AND(I235="Réalisé",OR(H235&lt;=0,B235&gt;Parametres!$B$7)),"Réalisation à vérifier",IF(AND(P235="Émise",OR(Q235="",I235&lt;&gt;"Réalisé")),"Facture à corriger",IF(AND(Q235&lt;&gt;"",COUNTIF($Q$2:$Q$301,Q235)&gt;1),"DOUBLON FACTURE",IF(AND(I235="Réalisé",ABS(G235-H235)&gt;0.001,T235=""),"Écart heures","OK")))))))))</f>
        <v/>
      </c>
      <c r="T235" s="8"/>
    </row>
    <row r="236" spans="1:20" ht="22" customHeight="1">
      <c r="A236" s="8"/>
      <c r="B236" s="6"/>
      <c r="C236" s="8"/>
      <c r="D236" s="9">
        <f>IF(C236="","",IFERROR(VLOOKUP(C236,Clients!$A$2:$M$51,12,FALSE),"CLIENT INCONNU"))</f>
        <v/>
      </c>
      <c r="E236" s="8"/>
      <c r="F236" s="9">
        <f>IF(E236="","",IFERROR(VLOOKUP(E236,Services!$A$2:$D$4,2,FALSE),"SERVICE INCONNU"))</f>
        <v/>
      </c>
      <c r="G236" s="8"/>
      <c r="H236" s="8"/>
      <c r="I236" s="8"/>
      <c r="J236" s="11">
        <f>IF(E236="","",IFERROR(VLOOKUP(E236,Services!$A$2:$D$4,3,FALSE),0))</f>
        <v/>
      </c>
      <c r="K236" s="9">
        <f>IF(C236="","",IFERROR(VLOOKUP(C236,Clients!$A$2:$M$51,11,FALSE),"Non"))</f>
        <v/>
      </c>
      <c r="L236" s="12">
        <f>IF(A236="","",IF(I236&lt;&gt;"Réalisé",0,IF(E236&lt;&gt;"Sexologie",0,IF(K236&lt;&gt;"Oui",0,IF(AND(B236&gt;=Parametres!$B$2,B236&lt;=Parametres!$B$3),Parametres!$B$5,0)))))</f>
        <v/>
      </c>
      <c r="M236" s="11">
        <f>IF(A236="","",IF(I236="Réalisé",ROUND(H236*J236,2),0))</f>
        <v/>
      </c>
      <c r="N236" s="11">
        <f>IF(A236="","",ROUND(M236*L236,2))</f>
        <v/>
      </c>
      <c r="O236" s="11">
        <f>IF(A236="","",ROUND(M236-N236,2))</f>
        <v/>
      </c>
      <c r="P236" s="8"/>
      <c r="Q236" s="8"/>
      <c r="R236" s="13">
        <f>IF(A236="","",IF(I236="Réalisé",H236,0))</f>
        <v/>
      </c>
      <c r="S236" s="9">
        <f>IF(A236="","",IF(COUNTIF($A$2:$A$301,A236)&gt;1,"DOUBLON RDV",IF(COUNTIF(Clients!$A$2:$A$51,C236)&lt;&gt;1,"Client à corriger",IF(COUNTIF(Services!$A$2:$A$4,E236)&lt;&gt;1,"Service à corriger",IF(OR(NOT(ISNUMBER(B236)),G236&lt;=0,H236&lt;0,COUNTIF(ListeStatuts,I236)&lt;&gt;1,COUNTIF(ListeFactures,P236)&lt;&gt;1),"Saisie à corriger",IF(AND(I236="Réalisé",OR(H236&lt;=0,B236&gt;Parametres!$B$7)),"Réalisation à vérifier",IF(AND(P236="Émise",OR(Q236="",I236&lt;&gt;"Réalisé")),"Facture à corriger",IF(AND(Q236&lt;&gt;"",COUNTIF($Q$2:$Q$301,Q236)&gt;1),"DOUBLON FACTURE",IF(AND(I236="Réalisé",ABS(G236-H236)&gt;0.001,T236=""),"Écart heures","OK")))))))))</f>
        <v/>
      </c>
      <c r="T236" s="8"/>
    </row>
    <row r="237" spans="1:20" ht="22" customHeight="1">
      <c r="A237" s="8"/>
      <c r="B237" s="6"/>
      <c r="C237" s="8"/>
      <c r="D237" s="9">
        <f>IF(C237="","",IFERROR(VLOOKUP(C237,Clients!$A$2:$M$51,12,FALSE),"CLIENT INCONNU"))</f>
        <v/>
      </c>
      <c r="E237" s="8"/>
      <c r="F237" s="9">
        <f>IF(E237="","",IFERROR(VLOOKUP(E237,Services!$A$2:$D$4,2,FALSE),"SERVICE INCONNU"))</f>
        <v/>
      </c>
      <c r="G237" s="8"/>
      <c r="H237" s="8"/>
      <c r="I237" s="8"/>
      <c r="J237" s="11">
        <f>IF(E237="","",IFERROR(VLOOKUP(E237,Services!$A$2:$D$4,3,FALSE),0))</f>
        <v/>
      </c>
      <c r="K237" s="9">
        <f>IF(C237="","",IFERROR(VLOOKUP(C237,Clients!$A$2:$M$51,11,FALSE),"Non"))</f>
        <v/>
      </c>
      <c r="L237" s="12">
        <f>IF(A237="","",IF(I237&lt;&gt;"Réalisé",0,IF(E237&lt;&gt;"Sexologie",0,IF(K237&lt;&gt;"Oui",0,IF(AND(B237&gt;=Parametres!$B$2,B237&lt;=Parametres!$B$3),Parametres!$B$5,0)))))</f>
        <v/>
      </c>
      <c r="M237" s="11">
        <f>IF(A237="","",IF(I237="Réalisé",ROUND(H237*J237,2),0))</f>
        <v/>
      </c>
      <c r="N237" s="11">
        <f>IF(A237="","",ROUND(M237*L237,2))</f>
        <v/>
      </c>
      <c r="O237" s="11">
        <f>IF(A237="","",ROUND(M237-N237,2))</f>
        <v/>
      </c>
      <c r="P237" s="8"/>
      <c r="Q237" s="8"/>
      <c r="R237" s="13">
        <f>IF(A237="","",IF(I237="Réalisé",H237,0))</f>
        <v/>
      </c>
      <c r="S237" s="9">
        <f>IF(A237="","",IF(COUNTIF($A$2:$A$301,A237)&gt;1,"DOUBLON RDV",IF(COUNTIF(Clients!$A$2:$A$51,C237)&lt;&gt;1,"Client à corriger",IF(COUNTIF(Services!$A$2:$A$4,E237)&lt;&gt;1,"Service à corriger",IF(OR(NOT(ISNUMBER(B237)),G237&lt;=0,H237&lt;0,COUNTIF(ListeStatuts,I237)&lt;&gt;1,COUNTIF(ListeFactures,P237)&lt;&gt;1),"Saisie à corriger",IF(AND(I237="Réalisé",OR(H237&lt;=0,B237&gt;Parametres!$B$7)),"Réalisation à vérifier",IF(AND(P237="Émise",OR(Q237="",I237&lt;&gt;"Réalisé")),"Facture à corriger",IF(AND(Q237&lt;&gt;"",COUNTIF($Q$2:$Q$301,Q237)&gt;1),"DOUBLON FACTURE",IF(AND(I237="Réalisé",ABS(G237-H237)&gt;0.001,T237=""),"Écart heures","OK")))))))))</f>
        <v/>
      </c>
      <c r="T237" s="8"/>
    </row>
    <row r="238" spans="1:20" ht="22" customHeight="1">
      <c r="A238" s="8"/>
      <c r="B238" s="6"/>
      <c r="C238" s="8"/>
      <c r="D238" s="9">
        <f>IF(C238="","",IFERROR(VLOOKUP(C238,Clients!$A$2:$M$51,12,FALSE),"CLIENT INCONNU"))</f>
        <v/>
      </c>
      <c r="E238" s="8"/>
      <c r="F238" s="9">
        <f>IF(E238="","",IFERROR(VLOOKUP(E238,Services!$A$2:$D$4,2,FALSE),"SERVICE INCONNU"))</f>
        <v/>
      </c>
      <c r="G238" s="8"/>
      <c r="H238" s="8"/>
      <c r="I238" s="8"/>
      <c r="J238" s="11">
        <f>IF(E238="","",IFERROR(VLOOKUP(E238,Services!$A$2:$D$4,3,FALSE),0))</f>
        <v/>
      </c>
      <c r="K238" s="9">
        <f>IF(C238="","",IFERROR(VLOOKUP(C238,Clients!$A$2:$M$51,11,FALSE),"Non"))</f>
        <v/>
      </c>
      <c r="L238" s="12">
        <f>IF(A238="","",IF(I238&lt;&gt;"Réalisé",0,IF(E238&lt;&gt;"Sexologie",0,IF(K238&lt;&gt;"Oui",0,IF(AND(B238&gt;=Parametres!$B$2,B238&lt;=Parametres!$B$3),Parametres!$B$5,0)))))</f>
        <v/>
      </c>
      <c r="M238" s="11">
        <f>IF(A238="","",IF(I238="Réalisé",ROUND(H238*J238,2),0))</f>
        <v/>
      </c>
      <c r="N238" s="11">
        <f>IF(A238="","",ROUND(M238*L238,2))</f>
        <v/>
      </c>
      <c r="O238" s="11">
        <f>IF(A238="","",ROUND(M238-N238,2))</f>
        <v/>
      </c>
      <c r="P238" s="8"/>
      <c r="Q238" s="8"/>
      <c r="R238" s="13">
        <f>IF(A238="","",IF(I238="Réalisé",H238,0))</f>
        <v/>
      </c>
      <c r="S238" s="9">
        <f>IF(A238="","",IF(COUNTIF($A$2:$A$301,A238)&gt;1,"DOUBLON RDV",IF(COUNTIF(Clients!$A$2:$A$51,C238)&lt;&gt;1,"Client à corriger",IF(COUNTIF(Services!$A$2:$A$4,E238)&lt;&gt;1,"Service à corriger",IF(OR(NOT(ISNUMBER(B238)),G238&lt;=0,H238&lt;0,COUNTIF(ListeStatuts,I238)&lt;&gt;1,COUNTIF(ListeFactures,P238)&lt;&gt;1),"Saisie à corriger",IF(AND(I238="Réalisé",OR(H238&lt;=0,B238&gt;Parametres!$B$7)),"Réalisation à vérifier",IF(AND(P238="Émise",OR(Q238="",I238&lt;&gt;"Réalisé")),"Facture à corriger",IF(AND(Q238&lt;&gt;"",COUNTIF($Q$2:$Q$301,Q238)&gt;1),"DOUBLON FACTURE",IF(AND(I238="Réalisé",ABS(G238-H238)&gt;0.001,T238=""),"Écart heures","OK")))))))))</f>
        <v/>
      </c>
      <c r="T238" s="8"/>
    </row>
    <row r="239" spans="1:20" ht="22" customHeight="1">
      <c r="A239" s="8"/>
      <c r="B239" s="6"/>
      <c r="C239" s="8"/>
      <c r="D239" s="9">
        <f>IF(C239="","",IFERROR(VLOOKUP(C239,Clients!$A$2:$M$51,12,FALSE),"CLIENT INCONNU"))</f>
        <v/>
      </c>
      <c r="E239" s="8"/>
      <c r="F239" s="9">
        <f>IF(E239="","",IFERROR(VLOOKUP(E239,Services!$A$2:$D$4,2,FALSE),"SERVICE INCONNU"))</f>
        <v/>
      </c>
      <c r="G239" s="8"/>
      <c r="H239" s="8"/>
      <c r="I239" s="8"/>
      <c r="J239" s="11">
        <f>IF(E239="","",IFERROR(VLOOKUP(E239,Services!$A$2:$D$4,3,FALSE),0))</f>
        <v/>
      </c>
      <c r="K239" s="9">
        <f>IF(C239="","",IFERROR(VLOOKUP(C239,Clients!$A$2:$M$51,11,FALSE),"Non"))</f>
        <v/>
      </c>
      <c r="L239" s="12">
        <f>IF(A239="","",IF(I239&lt;&gt;"Réalisé",0,IF(E239&lt;&gt;"Sexologie",0,IF(K239&lt;&gt;"Oui",0,IF(AND(B239&gt;=Parametres!$B$2,B239&lt;=Parametres!$B$3),Parametres!$B$5,0)))))</f>
        <v/>
      </c>
      <c r="M239" s="11">
        <f>IF(A239="","",IF(I239="Réalisé",ROUND(H239*J239,2),0))</f>
        <v/>
      </c>
      <c r="N239" s="11">
        <f>IF(A239="","",ROUND(M239*L239,2))</f>
        <v/>
      </c>
      <c r="O239" s="11">
        <f>IF(A239="","",ROUND(M239-N239,2))</f>
        <v/>
      </c>
      <c r="P239" s="8"/>
      <c r="Q239" s="8"/>
      <c r="R239" s="13">
        <f>IF(A239="","",IF(I239="Réalisé",H239,0))</f>
        <v/>
      </c>
      <c r="S239" s="9">
        <f>IF(A239="","",IF(COUNTIF($A$2:$A$301,A239)&gt;1,"DOUBLON RDV",IF(COUNTIF(Clients!$A$2:$A$51,C239)&lt;&gt;1,"Client à corriger",IF(COUNTIF(Services!$A$2:$A$4,E239)&lt;&gt;1,"Service à corriger",IF(OR(NOT(ISNUMBER(B239)),G239&lt;=0,H239&lt;0,COUNTIF(ListeStatuts,I239)&lt;&gt;1,COUNTIF(ListeFactures,P239)&lt;&gt;1),"Saisie à corriger",IF(AND(I239="Réalisé",OR(H239&lt;=0,B239&gt;Parametres!$B$7)),"Réalisation à vérifier",IF(AND(P239="Émise",OR(Q239="",I239&lt;&gt;"Réalisé")),"Facture à corriger",IF(AND(Q239&lt;&gt;"",COUNTIF($Q$2:$Q$301,Q239)&gt;1),"DOUBLON FACTURE",IF(AND(I239="Réalisé",ABS(G239-H239)&gt;0.001,T239=""),"Écart heures","OK")))))))))</f>
        <v/>
      </c>
      <c r="T239" s="8"/>
    </row>
    <row r="240" spans="1:20" ht="22" customHeight="1">
      <c r="A240" s="8"/>
      <c r="B240" s="6"/>
      <c r="C240" s="8"/>
      <c r="D240" s="9">
        <f>IF(C240="","",IFERROR(VLOOKUP(C240,Clients!$A$2:$M$51,12,FALSE),"CLIENT INCONNU"))</f>
        <v/>
      </c>
      <c r="E240" s="8"/>
      <c r="F240" s="9">
        <f>IF(E240="","",IFERROR(VLOOKUP(E240,Services!$A$2:$D$4,2,FALSE),"SERVICE INCONNU"))</f>
        <v/>
      </c>
      <c r="G240" s="8"/>
      <c r="H240" s="8"/>
      <c r="I240" s="8"/>
      <c r="J240" s="11">
        <f>IF(E240="","",IFERROR(VLOOKUP(E240,Services!$A$2:$D$4,3,FALSE),0))</f>
        <v/>
      </c>
      <c r="K240" s="9">
        <f>IF(C240="","",IFERROR(VLOOKUP(C240,Clients!$A$2:$M$51,11,FALSE),"Non"))</f>
        <v/>
      </c>
      <c r="L240" s="12">
        <f>IF(A240="","",IF(I240&lt;&gt;"Réalisé",0,IF(E240&lt;&gt;"Sexologie",0,IF(K240&lt;&gt;"Oui",0,IF(AND(B240&gt;=Parametres!$B$2,B240&lt;=Parametres!$B$3),Parametres!$B$5,0)))))</f>
        <v/>
      </c>
      <c r="M240" s="11">
        <f>IF(A240="","",IF(I240="Réalisé",ROUND(H240*J240,2),0))</f>
        <v/>
      </c>
      <c r="N240" s="11">
        <f>IF(A240="","",ROUND(M240*L240,2))</f>
        <v/>
      </c>
      <c r="O240" s="11">
        <f>IF(A240="","",ROUND(M240-N240,2))</f>
        <v/>
      </c>
      <c r="P240" s="8"/>
      <c r="Q240" s="8"/>
      <c r="R240" s="13">
        <f>IF(A240="","",IF(I240="Réalisé",H240,0))</f>
        <v/>
      </c>
      <c r="S240" s="9">
        <f>IF(A240="","",IF(COUNTIF($A$2:$A$301,A240)&gt;1,"DOUBLON RDV",IF(COUNTIF(Clients!$A$2:$A$51,C240)&lt;&gt;1,"Client à corriger",IF(COUNTIF(Services!$A$2:$A$4,E240)&lt;&gt;1,"Service à corriger",IF(OR(NOT(ISNUMBER(B240)),G240&lt;=0,H240&lt;0,COUNTIF(ListeStatuts,I240)&lt;&gt;1,COUNTIF(ListeFactures,P240)&lt;&gt;1),"Saisie à corriger",IF(AND(I240="Réalisé",OR(H240&lt;=0,B240&gt;Parametres!$B$7)),"Réalisation à vérifier",IF(AND(P240="Émise",OR(Q240="",I240&lt;&gt;"Réalisé")),"Facture à corriger",IF(AND(Q240&lt;&gt;"",COUNTIF($Q$2:$Q$301,Q240)&gt;1),"DOUBLON FACTURE",IF(AND(I240="Réalisé",ABS(G240-H240)&gt;0.001,T240=""),"Écart heures","OK")))))))))</f>
        <v/>
      </c>
      <c r="T240" s="8"/>
    </row>
    <row r="241" spans="1:20" ht="22" customHeight="1">
      <c r="A241" s="8"/>
      <c r="B241" s="6"/>
      <c r="C241" s="8"/>
      <c r="D241" s="9">
        <f>IF(C241="","",IFERROR(VLOOKUP(C241,Clients!$A$2:$M$51,12,FALSE),"CLIENT INCONNU"))</f>
        <v/>
      </c>
      <c r="E241" s="8"/>
      <c r="F241" s="9">
        <f>IF(E241="","",IFERROR(VLOOKUP(E241,Services!$A$2:$D$4,2,FALSE),"SERVICE INCONNU"))</f>
        <v/>
      </c>
      <c r="G241" s="8"/>
      <c r="H241" s="8"/>
      <c r="I241" s="8"/>
      <c r="J241" s="11">
        <f>IF(E241="","",IFERROR(VLOOKUP(E241,Services!$A$2:$D$4,3,FALSE),0))</f>
        <v/>
      </c>
      <c r="K241" s="9">
        <f>IF(C241="","",IFERROR(VLOOKUP(C241,Clients!$A$2:$M$51,11,FALSE),"Non"))</f>
        <v/>
      </c>
      <c r="L241" s="12">
        <f>IF(A241="","",IF(I241&lt;&gt;"Réalisé",0,IF(E241&lt;&gt;"Sexologie",0,IF(K241&lt;&gt;"Oui",0,IF(AND(B241&gt;=Parametres!$B$2,B241&lt;=Parametres!$B$3),Parametres!$B$5,0)))))</f>
        <v/>
      </c>
      <c r="M241" s="11">
        <f>IF(A241="","",IF(I241="Réalisé",ROUND(H241*J241,2),0))</f>
        <v/>
      </c>
      <c r="N241" s="11">
        <f>IF(A241="","",ROUND(M241*L241,2))</f>
        <v/>
      </c>
      <c r="O241" s="11">
        <f>IF(A241="","",ROUND(M241-N241,2))</f>
        <v/>
      </c>
      <c r="P241" s="8"/>
      <c r="Q241" s="8"/>
      <c r="R241" s="13">
        <f>IF(A241="","",IF(I241="Réalisé",H241,0))</f>
        <v/>
      </c>
      <c r="S241" s="9">
        <f>IF(A241="","",IF(COUNTIF($A$2:$A$301,A241)&gt;1,"DOUBLON RDV",IF(COUNTIF(Clients!$A$2:$A$51,C241)&lt;&gt;1,"Client à corriger",IF(COUNTIF(Services!$A$2:$A$4,E241)&lt;&gt;1,"Service à corriger",IF(OR(NOT(ISNUMBER(B241)),G241&lt;=0,H241&lt;0,COUNTIF(ListeStatuts,I241)&lt;&gt;1,COUNTIF(ListeFactures,P241)&lt;&gt;1),"Saisie à corriger",IF(AND(I241="Réalisé",OR(H241&lt;=0,B241&gt;Parametres!$B$7)),"Réalisation à vérifier",IF(AND(P241="Émise",OR(Q241="",I241&lt;&gt;"Réalisé")),"Facture à corriger",IF(AND(Q241&lt;&gt;"",COUNTIF($Q$2:$Q$301,Q241)&gt;1),"DOUBLON FACTURE",IF(AND(I241="Réalisé",ABS(G241-H241)&gt;0.001,T241=""),"Écart heures","OK")))))))))</f>
        <v/>
      </c>
      <c r="T241" s="8"/>
    </row>
    <row r="242" spans="1:20" ht="22" customHeight="1">
      <c r="A242" s="8"/>
      <c r="B242" s="6"/>
      <c r="C242" s="8"/>
      <c r="D242" s="9">
        <f>IF(C242="","",IFERROR(VLOOKUP(C242,Clients!$A$2:$M$51,12,FALSE),"CLIENT INCONNU"))</f>
        <v/>
      </c>
      <c r="E242" s="8"/>
      <c r="F242" s="9">
        <f>IF(E242="","",IFERROR(VLOOKUP(E242,Services!$A$2:$D$4,2,FALSE),"SERVICE INCONNU"))</f>
        <v/>
      </c>
      <c r="G242" s="8"/>
      <c r="H242" s="8"/>
      <c r="I242" s="8"/>
      <c r="J242" s="11">
        <f>IF(E242="","",IFERROR(VLOOKUP(E242,Services!$A$2:$D$4,3,FALSE),0))</f>
        <v/>
      </c>
      <c r="K242" s="9">
        <f>IF(C242="","",IFERROR(VLOOKUP(C242,Clients!$A$2:$M$51,11,FALSE),"Non"))</f>
        <v/>
      </c>
      <c r="L242" s="12">
        <f>IF(A242="","",IF(I242&lt;&gt;"Réalisé",0,IF(E242&lt;&gt;"Sexologie",0,IF(K242&lt;&gt;"Oui",0,IF(AND(B242&gt;=Parametres!$B$2,B242&lt;=Parametres!$B$3),Parametres!$B$5,0)))))</f>
        <v/>
      </c>
      <c r="M242" s="11">
        <f>IF(A242="","",IF(I242="Réalisé",ROUND(H242*J242,2),0))</f>
        <v/>
      </c>
      <c r="N242" s="11">
        <f>IF(A242="","",ROUND(M242*L242,2))</f>
        <v/>
      </c>
      <c r="O242" s="11">
        <f>IF(A242="","",ROUND(M242-N242,2))</f>
        <v/>
      </c>
      <c r="P242" s="8"/>
      <c r="Q242" s="8"/>
      <c r="R242" s="13">
        <f>IF(A242="","",IF(I242="Réalisé",H242,0))</f>
        <v/>
      </c>
      <c r="S242" s="9">
        <f>IF(A242="","",IF(COUNTIF($A$2:$A$301,A242)&gt;1,"DOUBLON RDV",IF(COUNTIF(Clients!$A$2:$A$51,C242)&lt;&gt;1,"Client à corriger",IF(COUNTIF(Services!$A$2:$A$4,E242)&lt;&gt;1,"Service à corriger",IF(OR(NOT(ISNUMBER(B242)),G242&lt;=0,H242&lt;0,COUNTIF(ListeStatuts,I242)&lt;&gt;1,COUNTIF(ListeFactures,P242)&lt;&gt;1),"Saisie à corriger",IF(AND(I242="Réalisé",OR(H242&lt;=0,B242&gt;Parametres!$B$7)),"Réalisation à vérifier",IF(AND(P242="Émise",OR(Q242="",I242&lt;&gt;"Réalisé")),"Facture à corriger",IF(AND(Q242&lt;&gt;"",COUNTIF($Q$2:$Q$301,Q242)&gt;1),"DOUBLON FACTURE",IF(AND(I242="Réalisé",ABS(G242-H242)&gt;0.001,T242=""),"Écart heures","OK")))))))))</f>
        <v/>
      </c>
      <c r="T242" s="8"/>
    </row>
    <row r="243" spans="1:20" ht="22" customHeight="1">
      <c r="A243" s="8"/>
      <c r="B243" s="6"/>
      <c r="C243" s="8"/>
      <c r="D243" s="9">
        <f>IF(C243="","",IFERROR(VLOOKUP(C243,Clients!$A$2:$M$51,12,FALSE),"CLIENT INCONNU"))</f>
        <v/>
      </c>
      <c r="E243" s="8"/>
      <c r="F243" s="9">
        <f>IF(E243="","",IFERROR(VLOOKUP(E243,Services!$A$2:$D$4,2,FALSE),"SERVICE INCONNU"))</f>
        <v/>
      </c>
      <c r="G243" s="8"/>
      <c r="H243" s="8"/>
      <c r="I243" s="8"/>
      <c r="J243" s="11">
        <f>IF(E243="","",IFERROR(VLOOKUP(E243,Services!$A$2:$D$4,3,FALSE),0))</f>
        <v/>
      </c>
      <c r="K243" s="9">
        <f>IF(C243="","",IFERROR(VLOOKUP(C243,Clients!$A$2:$M$51,11,FALSE),"Non"))</f>
        <v/>
      </c>
      <c r="L243" s="12">
        <f>IF(A243="","",IF(I243&lt;&gt;"Réalisé",0,IF(E243&lt;&gt;"Sexologie",0,IF(K243&lt;&gt;"Oui",0,IF(AND(B243&gt;=Parametres!$B$2,B243&lt;=Parametres!$B$3),Parametres!$B$5,0)))))</f>
        <v/>
      </c>
      <c r="M243" s="11">
        <f>IF(A243="","",IF(I243="Réalisé",ROUND(H243*J243,2),0))</f>
        <v/>
      </c>
      <c r="N243" s="11">
        <f>IF(A243="","",ROUND(M243*L243,2))</f>
        <v/>
      </c>
      <c r="O243" s="11">
        <f>IF(A243="","",ROUND(M243-N243,2))</f>
        <v/>
      </c>
      <c r="P243" s="8"/>
      <c r="Q243" s="8"/>
      <c r="R243" s="13">
        <f>IF(A243="","",IF(I243="Réalisé",H243,0))</f>
        <v/>
      </c>
      <c r="S243" s="9">
        <f>IF(A243="","",IF(COUNTIF($A$2:$A$301,A243)&gt;1,"DOUBLON RDV",IF(COUNTIF(Clients!$A$2:$A$51,C243)&lt;&gt;1,"Client à corriger",IF(COUNTIF(Services!$A$2:$A$4,E243)&lt;&gt;1,"Service à corriger",IF(OR(NOT(ISNUMBER(B243)),G243&lt;=0,H243&lt;0,COUNTIF(ListeStatuts,I243)&lt;&gt;1,COUNTIF(ListeFactures,P243)&lt;&gt;1),"Saisie à corriger",IF(AND(I243="Réalisé",OR(H243&lt;=0,B243&gt;Parametres!$B$7)),"Réalisation à vérifier",IF(AND(P243="Émise",OR(Q243="",I243&lt;&gt;"Réalisé")),"Facture à corriger",IF(AND(Q243&lt;&gt;"",COUNTIF($Q$2:$Q$301,Q243)&gt;1),"DOUBLON FACTURE",IF(AND(I243="Réalisé",ABS(G243-H243)&gt;0.001,T243=""),"Écart heures","OK")))))))))</f>
        <v/>
      </c>
      <c r="T243" s="8"/>
    </row>
    <row r="244" spans="1:20" ht="22" customHeight="1">
      <c r="A244" s="8"/>
      <c r="B244" s="6"/>
      <c r="C244" s="8"/>
      <c r="D244" s="9">
        <f>IF(C244="","",IFERROR(VLOOKUP(C244,Clients!$A$2:$M$51,12,FALSE),"CLIENT INCONNU"))</f>
        <v/>
      </c>
      <c r="E244" s="8"/>
      <c r="F244" s="9">
        <f>IF(E244="","",IFERROR(VLOOKUP(E244,Services!$A$2:$D$4,2,FALSE),"SERVICE INCONNU"))</f>
        <v/>
      </c>
      <c r="G244" s="8"/>
      <c r="H244" s="8"/>
      <c r="I244" s="8"/>
      <c r="J244" s="11">
        <f>IF(E244="","",IFERROR(VLOOKUP(E244,Services!$A$2:$D$4,3,FALSE),0))</f>
        <v/>
      </c>
      <c r="K244" s="9">
        <f>IF(C244="","",IFERROR(VLOOKUP(C244,Clients!$A$2:$M$51,11,FALSE),"Non"))</f>
        <v/>
      </c>
      <c r="L244" s="12">
        <f>IF(A244="","",IF(I244&lt;&gt;"Réalisé",0,IF(E244&lt;&gt;"Sexologie",0,IF(K244&lt;&gt;"Oui",0,IF(AND(B244&gt;=Parametres!$B$2,B244&lt;=Parametres!$B$3),Parametres!$B$5,0)))))</f>
        <v/>
      </c>
      <c r="M244" s="11">
        <f>IF(A244="","",IF(I244="Réalisé",ROUND(H244*J244,2),0))</f>
        <v/>
      </c>
      <c r="N244" s="11">
        <f>IF(A244="","",ROUND(M244*L244,2))</f>
        <v/>
      </c>
      <c r="O244" s="11">
        <f>IF(A244="","",ROUND(M244-N244,2))</f>
        <v/>
      </c>
      <c r="P244" s="8"/>
      <c r="Q244" s="8"/>
      <c r="R244" s="13">
        <f>IF(A244="","",IF(I244="Réalisé",H244,0))</f>
        <v/>
      </c>
      <c r="S244" s="9">
        <f>IF(A244="","",IF(COUNTIF($A$2:$A$301,A244)&gt;1,"DOUBLON RDV",IF(COUNTIF(Clients!$A$2:$A$51,C244)&lt;&gt;1,"Client à corriger",IF(COUNTIF(Services!$A$2:$A$4,E244)&lt;&gt;1,"Service à corriger",IF(OR(NOT(ISNUMBER(B244)),G244&lt;=0,H244&lt;0,COUNTIF(ListeStatuts,I244)&lt;&gt;1,COUNTIF(ListeFactures,P244)&lt;&gt;1),"Saisie à corriger",IF(AND(I244="Réalisé",OR(H244&lt;=0,B244&gt;Parametres!$B$7)),"Réalisation à vérifier",IF(AND(P244="Émise",OR(Q244="",I244&lt;&gt;"Réalisé")),"Facture à corriger",IF(AND(Q244&lt;&gt;"",COUNTIF($Q$2:$Q$301,Q244)&gt;1),"DOUBLON FACTURE",IF(AND(I244="Réalisé",ABS(G244-H244)&gt;0.001,T244=""),"Écart heures","OK")))))))))</f>
        <v/>
      </c>
      <c r="T244" s="8"/>
    </row>
    <row r="245" spans="1:20" ht="22" customHeight="1">
      <c r="A245" s="8"/>
      <c r="B245" s="6"/>
      <c r="C245" s="8"/>
      <c r="D245" s="9">
        <f>IF(C245="","",IFERROR(VLOOKUP(C245,Clients!$A$2:$M$51,12,FALSE),"CLIENT INCONNU"))</f>
        <v/>
      </c>
      <c r="E245" s="8"/>
      <c r="F245" s="9">
        <f>IF(E245="","",IFERROR(VLOOKUP(E245,Services!$A$2:$D$4,2,FALSE),"SERVICE INCONNU"))</f>
        <v/>
      </c>
      <c r="G245" s="8"/>
      <c r="H245" s="8"/>
      <c r="I245" s="8"/>
      <c r="J245" s="11">
        <f>IF(E245="","",IFERROR(VLOOKUP(E245,Services!$A$2:$D$4,3,FALSE),0))</f>
        <v/>
      </c>
      <c r="K245" s="9">
        <f>IF(C245="","",IFERROR(VLOOKUP(C245,Clients!$A$2:$M$51,11,FALSE),"Non"))</f>
        <v/>
      </c>
      <c r="L245" s="12">
        <f>IF(A245="","",IF(I245&lt;&gt;"Réalisé",0,IF(E245&lt;&gt;"Sexologie",0,IF(K245&lt;&gt;"Oui",0,IF(AND(B245&gt;=Parametres!$B$2,B245&lt;=Parametres!$B$3),Parametres!$B$5,0)))))</f>
        <v/>
      </c>
      <c r="M245" s="11">
        <f>IF(A245="","",IF(I245="Réalisé",ROUND(H245*J245,2),0))</f>
        <v/>
      </c>
      <c r="N245" s="11">
        <f>IF(A245="","",ROUND(M245*L245,2))</f>
        <v/>
      </c>
      <c r="O245" s="11">
        <f>IF(A245="","",ROUND(M245-N245,2))</f>
        <v/>
      </c>
      <c r="P245" s="8"/>
      <c r="Q245" s="8"/>
      <c r="R245" s="13">
        <f>IF(A245="","",IF(I245="Réalisé",H245,0))</f>
        <v/>
      </c>
      <c r="S245" s="9">
        <f>IF(A245="","",IF(COUNTIF($A$2:$A$301,A245)&gt;1,"DOUBLON RDV",IF(COUNTIF(Clients!$A$2:$A$51,C245)&lt;&gt;1,"Client à corriger",IF(COUNTIF(Services!$A$2:$A$4,E245)&lt;&gt;1,"Service à corriger",IF(OR(NOT(ISNUMBER(B245)),G245&lt;=0,H245&lt;0,COUNTIF(ListeStatuts,I245)&lt;&gt;1,COUNTIF(ListeFactures,P245)&lt;&gt;1),"Saisie à corriger",IF(AND(I245="Réalisé",OR(H245&lt;=0,B245&gt;Parametres!$B$7)),"Réalisation à vérifier",IF(AND(P245="Émise",OR(Q245="",I245&lt;&gt;"Réalisé")),"Facture à corriger",IF(AND(Q245&lt;&gt;"",COUNTIF($Q$2:$Q$301,Q245)&gt;1),"DOUBLON FACTURE",IF(AND(I245="Réalisé",ABS(G245-H245)&gt;0.001,T245=""),"Écart heures","OK")))))))))</f>
        <v/>
      </c>
      <c r="T245" s="8"/>
    </row>
    <row r="246" spans="1:20" ht="22" customHeight="1">
      <c r="A246" s="8"/>
      <c r="B246" s="6"/>
      <c r="C246" s="8"/>
      <c r="D246" s="9">
        <f>IF(C246="","",IFERROR(VLOOKUP(C246,Clients!$A$2:$M$51,12,FALSE),"CLIENT INCONNU"))</f>
        <v/>
      </c>
      <c r="E246" s="8"/>
      <c r="F246" s="9">
        <f>IF(E246="","",IFERROR(VLOOKUP(E246,Services!$A$2:$D$4,2,FALSE),"SERVICE INCONNU"))</f>
        <v/>
      </c>
      <c r="G246" s="8"/>
      <c r="H246" s="8"/>
      <c r="I246" s="8"/>
      <c r="J246" s="11">
        <f>IF(E246="","",IFERROR(VLOOKUP(E246,Services!$A$2:$D$4,3,FALSE),0))</f>
        <v/>
      </c>
      <c r="K246" s="9">
        <f>IF(C246="","",IFERROR(VLOOKUP(C246,Clients!$A$2:$M$51,11,FALSE),"Non"))</f>
        <v/>
      </c>
      <c r="L246" s="12">
        <f>IF(A246="","",IF(I246&lt;&gt;"Réalisé",0,IF(E246&lt;&gt;"Sexologie",0,IF(K246&lt;&gt;"Oui",0,IF(AND(B246&gt;=Parametres!$B$2,B246&lt;=Parametres!$B$3),Parametres!$B$5,0)))))</f>
        <v/>
      </c>
      <c r="M246" s="11">
        <f>IF(A246="","",IF(I246="Réalisé",ROUND(H246*J246,2),0))</f>
        <v/>
      </c>
      <c r="N246" s="11">
        <f>IF(A246="","",ROUND(M246*L246,2))</f>
        <v/>
      </c>
      <c r="O246" s="11">
        <f>IF(A246="","",ROUND(M246-N246,2))</f>
        <v/>
      </c>
      <c r="P246" s="8"/>
      <c r="Q246" s="8"/>
      <c r="R246" s="13">
        <f>IF(A246="","",IF(I246="Réalisé",H246,0))</f>
        <v/>
      </c>
      <c r="S246" s="9">
        <f>IF(A246="","",IF(COUNTIF($A$2:$A$301,A246)&gt;1,"DOUBLON RDV",IF(COUNTIF(Clients!$A$2:$A$51,C246)&lt;&gt;1,"Client à corriger",IF(COUNTIF(Services!$A$2:$A$4,E246)&lt;&gt;1,"Service à corriger",IF(OR(NOT(ISNUMBER(B246)),G246&lt;=0,H246&lt;0,COUNTIF(ListeStatuts,I246)&lt;&gt;1,COUNTIF(ListeFactures,P246)&lt;&gt;1),"Saisie à corriger",IF(AND(I246="Réalisé",OR(H246&lt;=0,B246&gt;Parametres!$B$7)),"Réalisation à vérifier",IF(AND(P246="Émise",OR(Q246="",I246&lt;&gt;"Réalisé")),"Facture à corriger",IF(AND(Q246&lt;&gt;"",COUNTIF($Q$2:$Q$301,Q246)&gt;1),"DOUBLON FACTURE",IF(AND(I246="Réalisé",ABS(G246-H246)&gt;0.001,T246=""),"Écart heures","OK")))))))))</f>
        <v/>
      </c>
      <c r="T246" s="8"/>
    </row>
    <row r="247" spans="1:20" ht="22" customHeight="1">
      <c r="A247" s="8"/>
      <c r="B247" s="6"/>
      <c r="C247" s="8"/>
      <c r="D247" s="9">
        <f>IF(C247="","",IFERROR(VLOOKUP(C247,Clients!$A$2:$M$51,12,FALSE),"CLIENT INCONNU"))</f>
        <v/>
      </c>
      <c r="E247" s="8"/>
      <c r="F247" s="9">
        <f>IF(E247="","",IFERROR(VLOOKUP(E247,Services!$A$2:$D$4,2,FALSE),"SERVICE INCONNU"))</f>
        <v/>
      </c>
      <c r="G247" s="8"/>
      <c r="H247" s="8"/>
      <c r="I247" s="8"/>
      <c r="J247" s="11">
        <f>IF(E247="","",IFERROR(VLOOKUP(E247,Services!$A$2:$D$4,3,FALSE),0))</f>
        <v/>
      </c>
      <c r="K247" s="9">
        <f>IF(C247="","",IFERROR(VLOOKUP(C247,Clients!$A$2:$M$51,11,FALSE),"Non"))</f>
        <v/>
      </c>
      <c r="L247" s="12">
        <f>IF(A247="","",IF(I247&lt;&gt;"Réalisé",0,IF(E247&lt;&gt;"Sexologie",0,IF(K247&lt;&gt;"Oui",0,IF(AND(B247&gt;=Parametres!$B$2,B247&lt;=Parametres!$B$3),Parametres!$B$5,0)))))</f>
        <v/>
      </c>
      <c r="M247" s="11">
        <f>IF(A247="","",IF(I247="Réalisé",ROUND(H247*J247,2),0))</f>
        <v/>
      </c>
      <c r="N247" s="11">
        <f>IF(A247="","",ROUND(M247*L247,2))</f>
        <v/>
      </c>
      <c r="O247" s="11">
        <f>IF(A247="","",ROUND(M247-N247,2))</f>
        <v/>
      </c>
      <c r="P247" s="8"/>
      <c r="Q247" s="8"/>
      <c r="R247" s="13">
        <f>IF(A247="","",IF(I247="Réalisé",H247,0))</f>
        <v/>
      </c>
      <c r="S247" s="9">
        <f>IF(A247="","",IF(COUNTIF($A$2:$A$301,A247)&gt;1,"DOUBLON RDV",IF(COUNTIF(Clients!$A$2:$A$51,C247)&lt;&gt;1,"Client à corriger",IF(COUNTIF(Services!$A$2:$A$4,E247)&lt;&gt;1,"Service à corriger",IF(OR(NOT(ISNUMBER(B247)),G247&lt;=0,H247&lt;0,COUNTIF(ListeStatuts,I247)&lt;&gt;1,COUNTIF(ListeFactures,P247)&lt;&gt;1),"Saisie à corriger",IF(AND(I247="Réalisé",OR(H247&lt;=0,B247&gt;Parametres!$B$7)),"Réalisation à vérifier",IF(AND(P247="Émise",OR(Q247="",I247&lt;&gt;"Réalisé")),"Facture à corriger",IF(AND(Q247&lt;&gt;"",COUNTIF($Q$2:$Q$301,Q247)&gt;1),"DOUBLON FACTURE",IF(AND(I247="Réalisé",ABS(G247-H247)&gt;0.001,T247=""),"Écart heures","OK")))))))))</f>
        <v/>
      </c>
      <c r="T247" s="8"/>
    </row>
    <row r="248" spans="1:20" ht="22" customHeight="1">
      <c r="A248" s="8"/>
      <c r="B248" s="6"/>
      <c r="C248" s="8"/>
      <c r="D248" s="9">
        <f>IF(C248="","",IFERROR(VLOOKUP(C248,Clients!$A$2:$M$51,12,FALSE),"CLIENT INCONNU"))</f>
        <v/>
      </c>
      <c r="E248" s="8"/>
      <c r="F248" s="9">
        <f>IF(E248="","",IFERROR(VLOOKUP(E248,Services!$A$2:$D$4,2,FALSE),"SERVICE INCONNU"))</f>
        <v/>
      </c>
      <c r="G248" s="8"/>
      <c r="H248" s="8"/>
      <c r="I248" s="8"/>
      <c r="J248" s="11">
        <f>IF(E248="","",IFERROR(VLOOKUP(E248,Services!$A$2:$D$4,3,FALSE),0))</f>
        <v/>
      </c>
      <c r="K248" s="9">
        <f>IF(C248="","",IFERROR(VLOOKUP(C248,Clients!$A$2:$M$51,11,FALSE),"Non"))</f>
        <v/>
      </c>
      <c r="L248" s="12">
        <f>IF(A248="","",IF(I248&lt;&gt;"Réalisé",0,IF(E248&lt;&gt;"Sexologie",0,IF(K248&lt;&gt;"Oui",0,IF(AND(B248&gt;=Parametres!$B$2,B248&lt;=Parametres!$B$3),Parametres!$B$5,0)))))</f>
        <v/>
      </c>
      <c r="M248" s="11">
        <f>IF(A248="","",IF(I248="Réalisé",ROUND(H248*J248,2),0))</f>
        <v/>
      </c>
      <c r="N248" s="11">
        <f>IF(A248="","",ROUND(M248*L248,2))</f>
        <v/>
      </c>
      <c r="O248" s="11">
        <f>IF(A248="","",ROUND(M248-N248,2))</f>
        <v/>
      </c>
      <c r="P248" s="8"/>
      <c r="Q248" s="8"/>
      <c r="R248" s="13">
        <f>IF(A248="","",IF(I248="Réalisé",H248,0))</f>
        <v/>
      </c>
      <c r="S248" s="9">
        <f>IF(A248="","",IF(COUNTIF($A$2:$A$301,A248)&gt;1,"DOUBLON RDV",IF(COUNTIF(Clients!$A$2:$A$51,C248)&lt;&gt;1,"Client à corriger",IF(COUNTIF(Services!$A$2:$A$4,E248)&lt;&gt;1,"Service à corriger",IF(OR(NOT(ISNUMBER(B248)),G248&lt;=0,H248&lt;0,COUNTIF(ListeStatuts,I248)&lt;&gt;1,COUNTIF(ListeFactures,P248)&lt;&gt;1),"Saisie à corriger",IF(AND(I248="Réalisé",OR(H248&lt;=0,B248&gt;Parametres!$B$7)),"Réalisation à vérifier",IF(AND(P248="Émise",OR(Q248="",I248&lt;&gt;"Réalisé")),"Facture à corriger",IF(AND(Q248&lt;&gt;"",COUNTIF($Q$2:$Q$301,Q248)&gt;1),"DOUBLON FACTURE",IF(AND(I248="Réalisé",ABS(G248-H248)&gt;0.001,T248=""),"Écart heures","OK")))))))))</f>
        <v/>
      </c>
      <c r="T248" s="8"/>
    </row>
    <row r="249" spans="1:20" ht="22" customHeight="1">
      <c r="A249" s="8"/>
      <c r="B249" s="6"/>
      <c r="C249" s="8"/>
      <c r="D249" s="9">
        <f>IF(C249="","",IFERROR(VLOOKUP(C249,Clients!$A$2:$M$51,12,FALSE),"CLIENT INCONNU"))</f>
        <v/>
      </c>
      <c r="E249" s="8"/>
      <c r="F249" s="9">
        <f>IF(E249="","",IFERROR(VLOOKUP(E249,Services!$A$2:$D$4,2,FALSE),"SERVICE INCONNU"))</f>
        <v/>
      </c>
      <c r="G249" s="8"/>
      <c r="H249" s="8"/>
      <c r="I249" s="8"/>
      <c r="J249" s="11">
        <f>IF(E249="","",IFERROR(VLOOKUP(E249,Services!$A$2:$D$4,3,FALSE),0))</f>
        <v/>
      </c>
      <c r="K249" s="9">
        <f>IF(C249="","",IFERROR(VLOOKUP(C249,Clients!$A$2:$M$51,11,FALSE),"Non"))</f>
        <v/>
      </c>
      <c r="L249" s="12">
        <f>IF(A249="","",IF(I249&lt;&gt;"Réalisé",0,IF(E249&lt;&gt;"Sexologie",0,IF(K249&lt;&gt;"Oui",0,IF(AND(B249&gt;=Parametres!$B$2,B249&lt;=Parametres!$B$3),Parametres!$B$5,0)))))</f>
        <v/>
      </c>
      <c r="M249" s="11">
        <f>IF(A249="","",IF(I249="Réalisé",ROUND(H249*J249,2),0))</f>
        <v/>
      </c>
      <c r="N249" s="11">
        <f>IF(A249="","",ROUND(M249*L249,2))</f>
        <v/>
      </c>
      <c r="O249" s="11">
        <f>IF(A249="","",ROUND(M249-N249,2))</f>
        <v/>
      </c>
      <c r="P249" s="8"/>
      <c r="Q249" s="8"/>
      <c r="R249" s="13">
        <f>IF(A249="","",IF(I249="Réalisé",H249,0))</f>
        <v/>
      </c>
      <c r="S249" s="9">
        <f>IF(A249="","",IF(COUNTIF($A$2:$A$301,A249)&gt;1,"DOUBLON RDV",IF(COUNTIF(Clients!$A$2:$A$51,C249)&lt;&gt;1,"Client à corriger",IF(COUNTIF(Services!$A$2:$A$4,E249)&lt;&gt;1,"Service à corriger",IF(OR(NOT(ISNUMBER(B249)),G249&lt;=0,H249&lt;0,COUNTIF(ListeStatuts,I249)&lt;&gt;1,COUNTIF(ListeFactures,P249)&lt;&gt;1),"Saisie à corriger",IF(AND(I249="Réalisé",OR(H249&lt;=0,B249&gt;Parametres!$B$7)),"Réalisation à vérifier",IF(AND(P249="Émise",OR(Q249="",I249&lt;&gt;"Réalisé")),"Facture à corriger",IF(AND(Q249&lt;&gt;"",COUNTIF($Q$2:$Q$301,Q249)&gt;1),"DOUBLON FACTURE",IF(AND(I249="Réalisé",ABS(G249-H249)&gt;0.001,T249=""),"Écart heures","OK")))))))))</f>
        <v/>
      </c>
      <c r="T249" s="8"/>
    </row>
    <row r="250" spans="1:20" ht="22" customHeight="1">
      <c r="A250" s="8"/>
      <c r="B250" s="6"/>
      <c r="C250" s="8"/>
      <c r="D250" s="9">
        <f>IF(C250="","",IFERROR(VLOOKUP(C250,Clients!$A$2:$M$51,12,FALSE),"CLIENT INCONNU"))</f>
        <v/>
      </c>
      <c r="E250" s="8"/>
      <c r="F250" s="9">
        <f>IF(E250="","",IFERROR(VLOOKUP(E250,Services!$A$2:$D$4,2,FALSE),"SERVICE INCONNU"))</f>
        <v/>
      </c>
      <c r="G250" s="8"/>
      <c r="H250" s="8"/>
      <c r="I250" s="8"/>
      <c r="J250" s="11">
        <f>IF(E250="","",IFERROR(VLOOKUP(E250,Services!$A$2:$D$4,3,FALSE),0))</f>
        <v/>
      </c>
      <c r="K250" s="9">
        <f>IF(C250="","",IFERROR(VLOOKUP(C250,Clients!$A$2:$M$51,11,FALSE),"Non"))</f>
        <v/>
      </c>
      <c r="L250" s="12">
        <f>IF(A250="","",IF(I250&lt;&gt;"Réalisé",0,IF(E250&lt;&gt;"Sexologie",0,IF(K250&lt;&gt;"Oui",0,IF(AND(B250&gt;=Parametres!$B$2,B250&lt;=Parametres!$B$3),Parametres!$B$5,0)))))</f>
        <v/>
      </c>
      <c r="M250" s="11">
        <f>IF(A250="","",IF(I250="Réalisé",ROUND(H250*J250,2),0))</f>
        <v/>
      </c>
      <c r="N250" s="11">
        <f>IF(A250="","",ROUND(M250*L250,2))</f>
        <v/>
      </c>
      <c r="O250" s="11">
        <f>IF(A250="","",ROUND(M250-N250,2))</f>
        <v/>
      </c>
      <c r="P250" s="8"/>
      <c r="Q250" s="8"/>
      <c r="R250" s="13">
        <f>IF(A250="","",IF(I250="Réalisé",H250,0))</f>
        <v/>
      </c>
      <c r="S250" s="9">
        <f>IF(A250="","",IF(COUNTIF($A$2:$A$301,A250)&gt;1,"DOUBLON RDV",IF(COUNTIF(Clients!$A$2:$A$51,C250)&lt;&gt;1,"Client à corriger",IF(COUNTIF(Services!$A$2:$A$4,E250)&lt;&gt;1,"Service à corriger",IF(OR(NOT(ISNUMBER(B250)),G250&lt;=0,H250&lt;0,COUNTIF(ListeStatuts,I250)&lt;&gt;1,COUNTIF(ListeFactures,P250)&lt;&gt;1),"Saisie à corriger",IF(AND(I250="Réalisé",OR(H250&lt;=0,B250&gt;Parametres!$B$7)),"Réalisation à vérifier",IF(AND(P250="Émise",OR(Q250="",I250&lt;&gt;"Réalisé")),"Facture à corriger",IF(AND(Q250&lt;&gt;"",COUNTIF($Q$2:$Q$301,Q250)&gt;1),"DOUBLON FACTURE",IF(AND(I250="Réalisé",ABS(G250-H250)&gt;0.001,T250=""),"Écart heures","OK")))))))))</f>
        <v/>
      </c>
      <c r="T250" s="8"/>
    </row>
    <row r="251" spans="1:20" ht="22" customHeight="1">
      <c r="A251" s="8"/>
      <c r="B251" s="6"/>
      <c r="C251" s="8"/>
      <c r="D251" s="9">
        <f>IF(C251="","",IFERROR(VLOOKUP(C251,Clients!$A$2:$M$51,12,FALSE),"CLIENT INCONNU"))</f>
        <v/>
      </c>
      <c r="E251" s="8"/>
      <c r="F251" s="9">
        <f>IF(E251="","",IFERROR(VLOOKUP(E251,Services!$A$2:$D$4,2,FALSE),"SERVICE INCONNU"))</f>
        <v/>
      </c>
      <c r="G251" s="8"/>
      <c r="H251" s="8"/>
      <c r="I251" s="8"/>
      <c r="J251" s="11">
        <f>IF(E251="","",IFERROR(VLOOKUP(E251,Services!$A$2:$D$4,3,FALSE),0))</f>
        <v/>
      </c>
      <c r="K251" s="9">
        <f>IF(C251="","",IFERROR(VLOOKUP(C251,Clients!$A$2:$M$51,11,FALSE),"Non"))</f>
        <v/>
      </c>
      <c r="L251" s="12">
        <f>IF(A251="","",IF(I251&lt;&gt;"Réalisé",0,IF(E251&lt;&gt;"Sexologie",0,IF(K251&lt;&gt;"Oui",0,IF(AND(B251&gt;=Parametres!$B$2,B251&lt;=Parametres!$B$3),Parametres!$B$5,0)))))</f>
        <v/>
      </c>
      <c r="M251" s="11">
        <f>IF(A251="","",IF(I251="Réalisé",ROUND(H251*J251,2),0))</f>
        <v/>
      </c>
      <c r="N251" s="11">
        <f>IF(A251="","",ROUND(M251*L251,2))</f>
        <v/>
      </c>
      <c r="O251" s="11">
        <f>IF(A251="","",ROUND(M251-N251,2))</f>
        <v/>
      </c>
      <c r="P251" s="8"/>
      <c r="Q251" s="8"/>
      <c r="R251" s="13">
        <f>IF(A251="","",IF(I251="Réalisé",H251,0))</f>
        <v/>
      </c>
      <c r="S251" s="9">
        <f>IF(A251="","",IF(COUNTIF($A$2:$A$301,A251)&gt;1,"DOUBLON RDV",IF(COUNTIF(Clients!$A$2:$A$51,C251)&lt;&gt;1,"Client à corriger",IF(COUNTIF(Services!$A$2:$A$4,E251)&lt;&gt;1,"Service à corriger",IF(OR(NOT(ISNUMBER(B251)),G251&lt;=0,H251&lt;0,COUNTIF(ListeStatuts,I251)&lt;&gt;1,COUNTIF(ListeFactures,P251)&lt;&gt;1),"Saisie à corriger",IF(AND(I251="Réalisé",OR(H251&lt;=0,B251&gt;Parametres!$B$7)),"Réalisation à vérifier",IF(AND(P251="Émise",OR(Q251="",I251&lt;&gt;"Réalisé")),"Facture à corriger",IF(AND(Q251&lt;&gt;"",COUNTIF($Q$2:$Q$301,Q251)&gt;1),"DOUBLON FACTURE",IF(AND(I251="Réalisé",ABS(G251-H251)&gt;0.001,T251=""),"Écart heures","OK")))))))))</f>
        <v/>
      </c>
      <c r="T251" s="8"/>
    </row>
    <row r="252" spans="1:20" ht="22" customHeight="1">
      <c r="A252" s="8"/>
      <c r="B252" s="6"/>
      <c r="C252" s="8"/>
      <c r="D252" s="9">
        <f>IF(C252="","",IFERROR(VLOOKUP(C252,Clients!$A$2:$M$51,12,FALSE),"CLIENT INCONNU"))</f>
        <v/>
      </c>
      <c r="E252" s="8"/>
      <c r="F252" s="9">
        <f>IF(E252="","",IFERROR(VLOOKUP(E252,Services!$A$2:$D$4,2,FALSE),"SERVICE INCONNU"))</f>
        <v/>
      </c>
      <c r="G252" s="8"/>
      <c r="H252" s="8"/>
      <c r="I252" s="8"/>
      <c r="J252" s="11">
        <f>IF(E252="","",IFERROR(VLOOKUP(E252,Services!$A$2:$D$4,3,FALSE),0))</f>
        <v/>
      </c>
      <c r="K252" s="9">
        <f>IF(C252="","",IFERROR(VLOOKUP(C252,Clients!$A$2:$M$51,11,FALSE),"Non"))</f>
        <v/>
      </c>
      <c r="L252" s="12">
        <f>IF(A252="","",IF(I252&lt;&gt;"Réalisé",0,IF(E252&lt;&gt;"Sexologie",0,IF(K252&lt;&gt;"Oui",0,IF(AND(B252&gt;=Parametres!$B$2,B252&lt;=Parametres!$B$3),Parametres!$B$5,0)))))</f>
        <v/>
      </c>
      <c r="M252" s="11">
        <f>IF(A252="","",IF(I252="Réalisé",ROUND(H252*J252,2),0))</f>
        <v/>
      </c>
      <c r="N252" s="11">
        <f>IF(A252="","",ROUND(M252*L252,2))</f>
        <v/>
      </c>
      <c r="O252" s="11">
        <f>IF(A252="","",ROUND(M252-N252,2))</f>
        <v/>
      </c>
      <c r="P252" s="8"/>
      <c r="Q252" s="8"/>
      <c r="R252" s="13">
        <f>IF(A252="","",IF(I252="Réalisé",H252,0))</f>
        <v/>
      </c>
      <c r="S252" s="9">
        <f>IF(A252="","",IF(COUNTIF($A$2:$A$301,A252)&gt;1,"DOUBLON RDV",IF(COUNTIF(Clients!$A$2:$A$51,C252)&lt;&gt;1,"Client à corriger",IF(COUNTIF(Services!$A$2:$A$4,E252)&lt;&gt;1,"Service à corriger",IF(OR(NOT(ISNUMBER(B252)),G252&lt;=0,H252&lt;0,COUNTIF(ListeStatuts,I252)&lt;&gt;1,COUNTIF(ListeFactures,P252)&lt;&gt;1),"Saisie à corriger",IF(AND(I252="Réalisé",OR(H252&lt;=0,B252&gt;Parametres!$B$7)),"Réalisation à vérifier",IF(AND(P252="Émise",OR(Q252="",I252&lt;&gt;"Réalisé")),"Facture à corriger",IF(AND(Q252&lt;&gt;"",COUNTIF($Q$2:$Q$301,Q252)&gt;1),"DOUBLON FACTURE",IF(AND(I252="Réalisé",ABS(G252-H252)&gt;0.001,T252=""),"Écart heures","OK")))))))))</f>
        <v/>
      </c>
      <c r="T252" s="8"/>
    </row>
    <row r="253" spans="1:20" ht="22" customHeight="1">
      <c r="A253" s="8"/>
      <c r="B253" s="6"/>
      <c r="C253" s="8"/>
      <c r="D253" s="9">
        <f>IF(C253="","",IFERROR(VLOOKUP(C253,Clients!$A$2:$M$51,12,FALSE),"CLIENT INCONNU"))</f>
        <v/>
      </c>
      <c r="E253" s="8"/>
      <c r="F253" s="9">
        <f>IF(E253="","",IFERROR(VLOOKUP(E253,Services!$A$2:$D$4,2,FALSE),"SERVICE INCONNU"))</f>
        <v/>
      </c>
      <c r="G253" s="8"/>
      <c r="H253" s="8"/>
      <c r="I253" s="8"/>
      <c r="J253" s="11">
        <f>IF(E253="","",IFERROR(VLOOKUP(E253,Services!$A$2:$D$4,3,FALSE),0))</f>
        <v/>
      </c>
      <c r="K253" s="9">
        <f>IF(C253="","",IFERROR(VLOOKUP(C253,Clients!$A$2:$M$51,11,FALSE),"Non"))</f>
        <v/>
      </c>
      <c r="L253" s="12">
        <f>IF(A253="","",IF(I253&lt;&gt;"Réalisé",0,IF(E253&lt;&gt;"Sexologie",0,IF(K253&lt;&gt;"Oui",0,IF(AND(B253&gt;=Parametres!$B$2,B253&lt;=Parametres!$B$3),Parametres!$B$5,0)))))</f>
        <v/>
      </c>
      <c r="M253" s="11">
        <f>IF(A253="","",IF(I253="Réalisé",ROUND(H253*J253,2),0))</f>
        <v/>
      </c>
      <c r="N253" s="11">
        <f>IF(A253="","",ROUND(M253*L253,2))</f>
        <v/>
      </c>
      <c r="O253" s="11">
        <f>IF(A253="","",ROUND(M253-N253,2))</f>
        <v/>
      </c>
      <c r="P253" s="8"/>
      <c r="Q253" s="8"/>
      <c r="R253" s="13">
        <f>IF(A253="","",IF(I253="Réalisé",H253,0))</f>
        <v/>
      </c>
      <c r="S253" s="9">
        <f>IF(A253="","",IF(COUNTIF($A$2:$A$301,A253)&gt;1,"DOUBLON RDV",IF(COUNTIF(Clients!$A$2:$A$51,C253)&lt;&gt;1,"Client à corriger",IF(COUNTIF(Services!$A$2:$A$4,E253)&lt;&gt;1,"Service à corriger",IF(OR(NOT(ISNUMBER(B253)),G253&lt;=0,H253&lt;0,COUNTIF(ListeStatuts,I253)&lt;&gt;1,COUNTIF(ListeFactures,P253)&lt;&gt;1),"Saisie à corriger",IF(AND(I253="Réalisé",OR(H253&lt;=0,B253&gt;Parametres!$B$7)),"Réalisation à vérifier",IF(AND(P253="Émise",OR(Q253="",I253&lt;&gt;"Réalisé")),"Facture à corriger",IF(AND(Q253&lt;&gt;"",COUNTIF($Q$2:$Q$301,Q253)&gt;1),"DOUBLON FACTURE",IF(AND(I253="Réalisé",ABS(G253-H253)&gt;0.001,T253=""),"Écart heures","OK")))))))))</f>
        <v/>
      </c>
      <c r="T253" s="8"/>
    </row>
    <row r="254" spans="1:20" ht="22" customHeight="1">
      <c r="A254" s="8"/>
      <c r="B254" s="6"/>
      <c r="C254" s="8"/>
      <c r="D254" s="9">
        <f>IF(C254="","",IFERROR(VLOOKUP(C254,Clients!$A$2:$M$51,12,FALSE),"CLIENT INCONNU"))</f>
        <v/>
      </c>
      <c r="E254" s="8"/>
      <c r="F254" s="9">
        <f>IF(E254="","",IFERROR(VLOOKUP(E254,Services!$A$2:$D$4,2,FALSE),"SERVICE INCONNU"))</f>
        <v/>
      </c>
      <c r="G254" s="8"/>
      <c r="H254" s="8"/>
      <c r="I254" s="8"/>
      <c r="J254" s="11">
        <f>IF(E254="","",IFERROR(VLOOKUP(E254,Services!$A$2:$D$4,3,FALSE),0))</f>
        <v/>
      </c>
      <c r="K254" s="9">
        <f>IF(C254="","",IFERROR(VLOOKUP(C254,Clients!$A$2:$M$51,11,FALSE),"Non"))</f>
        <v/>
      </c>
      <c r="L254" s="12">
        <f>IF(A254="","",IF(I254&lt;&gt;"Réalisé",0,IF(E254&lt;&gt;"Sexologie",0,IF(K254&lt;&gt;"Oui",0,IF(AND(B254&gt;=Parametres!$B$2,B254&lt;=Parametres!$B$3),Parametres!$B$5,0)))))</f>
        <v/>
      </c>
      <c r="M254" s="11">
        <f>IF(A254="","",IF(I254="Réalisé",ROUND(H254*J254,2),0))</f>
        <v/>
      </c>
      <c r="N254" s="11">
        <f>IF(A254="","",ROUND(M254*L254,2))</f>
        <v/>
      </c>
      <c r="O254" s="11">
        <f>IF(A254="","",ROUND(M254-N254,2))</f>
        <v/>
      </c>
      <c r="P254" s="8"/>
      <c r="Q254" s="8"/>
      <c r="R254" s="13">
        <f>IF(A254="","",IF(I254="Réalisé",H254,0))</f>
        <v/>
      </c>
      <c r="S254" s="9">
        <f>IF(A254="","",IF(COUNTIF($A$2:$A$301,A254)&gt;1,"DOUBLON RDV",IF(COUNTIF(Clients!$A$2:$A$51,C254)&lt;&gt;1,"Client à corriger",IF(COUNTIF(Services!$A$2:$A$4,E254)&lt;&gt;1,"Service à corriger",IF(OR(NOT(ISNUMBER(B254)),G254&lt;=0,H254&lt;0,COUNTIF(ListeStatuts,I254)&lt;&gt;1,COUNTIF(ListeFactures,P254)&lt;&gt;1),"Saisie à corriger",IF(AND(I254="Réalisé",OR(H254&lt;=0,B254&gt;Parametres!$B$7)),"Réalisation à vérifier",IF(AND(P254="Émise",OR(Q254="",I254&lt;&gt;"Réalisé")),"Facture à corriger",IF(AND(Q254&lt;&gt;"",COUNTIF($Q$2:$Q$301,Q254)&gt;1),"DOUBLON FACTURE",IF(AND(I254="Réalisé",ABS(G254-H254)&gt;0.001,T254=""),"Écart heures","OK")))))))))</f>
        <v/>
      </c>
      <c r="T254" s="8"/>
    </row>
    <row r="255" spans="1:20" ht="22" customHeight="1">
      <c r="A255" s="8"/>
      <c r="B255" s="6"/>
      <c r="C255" s="8"/>
      <c r="D255" s="9">
        <f>IF(C255="","",IFERROR(VLOOKUP(C255,Clients!$A$2:$M$51,12,FALSE),"CLIENT INCONNU"))</f>
        <v/>
      </c>
      <c r="E255" s="8"/>
      <c r="F255" s="9">
        <f>IF(E255="","",IFERROR(VLOOKUP(E255,Services!$A$2:$D$4,2,FALSE),"SERVICE INCONNU"))</f>
        <v/>
      </c>
      <c r="G255" s="8"/>
      <c r="H255" s="8"/>
      <c r="I255" s="8"/>
      <c r="J255" s="11">
        <f>IF(E255="","",IFERROR(VLOOKUP(E255,Services!$A$2:$D$4,3,FALSE),0))</f>
        <v/>
      </c>
      <c r="K255" s="9">
        <f>IF(C255="","",IFERROR(VLOOKUP(C255,Clients!$A$2:$M$51,11,FALSE),"Non"))</f>
        <v/>
      </c>
      <c r="L255" s="12">
        <f>IF(A255="","",IF(I255&lt;&gt;"Réalisé",0,IF(E255&lt;&gt;"Sexologie",0,IF(K255&lt;&gt;"Oui",0,IF(AND(B255&gt;=Parametres!$B$2,B255&lt;=Parametres!$B$3),Parametres!$B$5,0)))))</f>
        <v/>
      </c>
      <c r="M255" s="11">
        <f>IF(A255="","",IF(I255="Réalisé",ROUND(H255*J255,2),0))</f>
        <v/>
      </c>
      <c r="N255" s="11">
        <f>IF(A255="","",ROUND(M255*L255,2))</f>
        <v/>
      </c>
      <c r="O255" s="11">
        <f>IF(A255="","",ROUND(M255-N255,2))</f>
        <v/>
      </c>
      <c r="P255" s="8"/>
      <c r="Q255" s="8"/>
      <c r="R255" s="13">
        <f>IF(A255="","",IF(I255="Réalisé",H255,0))</f>
        <v/>
      </c>
      <c r="S255" s="9">
        <f>IF(A255="","",IF(COUNTIF($A$2:$A$301,A255)&gt;1,"DOUBLON RDV",IF(COUNTIF(Clients!$A$2:$A$51,C255)&lt;&gt;1,"Client à corriger",IF(COUNTIF(Services!$A$2:$A$4,E255)&lt;&gt;1,"Service à corriger",IF(OR(NOT(ISNUMBER(B255)),G255&lt;=0,H255&lt;0,COUNTIF(ListeStatuts,I255)&lt;&gt;1,COUNTIF(ListeFactures,P255)&lt;&gt;1),"Saisie à corriger",IF(AND(I255="Réalisé",OR(H255&lt;=0,B255&gt;Parametres!$B$7)),"Réalisation à vérifier",IF(AND(P255="Émise",OR(Q255="",I255&lt;&gt;"Réalisé")),"Facture à corriger",IF(AND(Q255&lt;&gt;"",COUNTIF($Q$2:$Q$301,Q255)&gt;1),"DOUBLON FACTURE",IF(AND(I255="Réalisé",ABS(G255-H255)&gt;0.001,T255=""),"Écart heures","OK")))))))))</f>
        <v/>
      </c>
      <c r="T255" s="8"/>
    </row>
    <row r="256" spans="1:20" ht="22" customHeight="1">
      <c r="A256" s="8"/>
      <c r="B256" s="6"/>
      <c r="C256" s="8"/>
      <c r="D256" s="9">
        <f>IF(C256="","",IFERROR(VLOOKUP(C256,Clients!$A$2:$M$51,12,FALSE),"CLIENT INCONNU"))</f>
        <v/>
      </c>
      <c r="E256" s="8"/>
      <c r="F256" s="9">
        <f>IF(E256="","",IFERROR(VLOOKUP(E256,Services!$A$2:$D$4,2,FALSE),"SERVICE INCONNU"))</f>
        <v/>
      </c>
      <c r="G256" s="8"/>
      <c r="H256" s="8"/>
      <c r="I256" s="8"/>
      <c r="J256" s="11">
        <f>IF(E256="","",IFERROR(VLOOKUP(E256,Services!$A$2:$D$4,3,FALSE),0))</f>
        <v/>
      </c>
      <c r="K256" s="9">
        <f>IF(C256="","",IFERROR(VLOOKUP(C256,Clients!$A$2:$M$51,11,FALSE),"Non"))</f>
        <v/>
      </c>
      <c r="L256" s="12">
        <f>IF(A256="","",IF(I256&lt;&gt;"Réalisé",0,IF(E256&lt;&gt;"Sexologie",0,IF(K256&lt;&gt;"Oui",0,IF(AND(B256&gt;=Parametres!$B$2,B256&lt;=Parametres!$B$3),Parametres!$B$5,0)))))</f>
        <v/>
      </c>
      <c r="M256" s="11">
        <f>IF(A256="","",IF(I256="Réalisé",ROUND(H256*J256,2),0))</f>
        <v/>
      </c>
      <c r="N256" s="11">
        <f>IF(A256="","",ROUND(M256*L256,2))</f>
        <v/>
      </c>
      <c r="O256" s="11">
        <f>IF(A256="","",ROUND(M256-N256,2))</f>
        <v/>
      </c>
      <c r="P256" s="8"/>
      <c r="Q256" s="8"/>
      <c r="R256" s="13">
        <f>IF(A256="","",IF(I256="Réalisé",H256,0))</f>
        <v/>
      </c>
      <c r="S256" s="9">
        <f>IF(A256="","",IF(COUNTIF($A$2:$A$301,A256)&gt;1,"DOUBLON RDV",IF(COUNTIF(Clients!$A$2:$A$51,C256)&lt;&gt;1,"Client à corriger",IF(COUNTIF(Services!$A$2:$A$4,E256)&lt;&gt;1,"Service à corriger",IF(OR(NOT(ISNUMBER(B256)),G256&lt;=0,H256&lt;0,COUNTIF(ListeStatuts,I256)&lt;&gt;1,COUNTIF(ListeFactures,P256)&lt;&gt;1),"Saisie à corriger",IF(AND(I256="Réalisé",OR(H256&lt;=0,B256&gt;Parametres!$B$7)),"Réalisation à vérifier",IF(AND(P256="Émise",OR(Q256="",I256&lt;&gt;"Réalisé")),"Facture à corriger",IF(AND(Q256&lt;&gt;"",COUNTIF($Q$2:$Q$301,Q256)&gt;1),"DOUBLON FACTURE",IF(AND(I256="Réalisé",ABS(G256-H256)&gt;0.001,T256=""),"Écart heures","OK")))))))))</f>
        <v/>
      </c>
      <c r="T256" s="8"/>
    </row>
    <row r="257" spans="1:20" ht="22" customHeight="1">
      <c r="A257" s="8"/>
      <c r="B257" s="6"/>
      <c r="C257" s="8"/>
      <c r="D257" s="9">
        <f>IF(C257="","",IFERROR(VLOOKUP(C257,Clients!$A$2:$M$51,12,FALSE),"CLIENT INCONNU"))</f>
        <v/>
      </c>
      <c r="E257" s="8"/>
      <c r="F257" s="9">
        <f>IF(E257="","",IFERROR(VLOOKUP(E257,Services!$A$2:$D$4,2,FALSE),"SERVICE INCONNU"))</f>
        <v/>
      </c>
      <c r="G257" s="8"/>
      <c r="H257" s="8"/>
      <c r="I257" s="8"/>
      <c r="J257" s="11">
        <f>IF(E257="","",IFERROR(VLOOKUP(E257,Services!$A$2:$D$4,3,FALSE),0))</f>
        <v/>
      </c>
      <c r="K257" s="9">
        <f>IF(C257="","",IFERROR(VLOOKUP(C257,Clients!$A$2:$M$51,11,FALSE),"Non"))</f>
        <v/>
      </c>
      <c r="L257" s="12">
        <f>IF(A257="","",IF(I257&lt;&gt;"Réalisé",0,IF(E257&lt;&gt;"Sexologie",0,IF(K257&lt;&gt;"Oui",0,IF(AND(B257&gt;=Parametres!$B$2,B257&lt;=Parametres!$B$3),Parametres!$B$5,0)))))</f>
        <v/>
      </c>
      <c r="M257" s="11">
        <f>IF(A257="","",IF(I257="Réalisé",ROUND(H257*J257,2),0))</f>
        <v/>
      </c>
      <c r="N257" s="11">
        <f>IF(A257="","",ROUND(M257*L257,2))</f>
        <v/>
      </c>
      <c r="O257" s="11">
        <f>IF(A257="","",ROUND(M257-N257,2))</f>
        <v/>
      </c>
      <c r="P257" s="8"/>
      <c r="Q257" s="8"/>
      <c r="R257" s="13">
        <f>IF(A257="","",IF(I257="Réalisé",H257,0))</f>
        <v/>
      </c>
      <c r="S257" s="9">
        <f>IF(A257="","",IF(COUNTIF($A$2:$A$301,A257)&gt;1,"DOUBLON RDV",IF(COUNTIF(Clients!$A$2:$A$51,C257)&lt;&gt;1,"Client à corriger",IF(COUNTIF(Services!$A$2:$A$4,E257)&lt;&gt;1,"Service à corriger",IF(OR(NOT(ISNUMBER(B257)),G257&lt;=0,H257&lt;0,COUNTIF(ListeStatuts,I257)&lt;&gt;1,COUNTIF(ListeFactures,P257)&lt;&gt;1),"Saisie à corriger",IF(AND(I257="Réalisé",OR(H257&lt;=0,B257&gt;Parametres!$B$7)),"Réalisation à vérifier",IF(AND(P257="Émise",OR(Q257="",I257&lt;&gt;"Réalisé")),"Facture à corriger",IF(AND(Q257&lt;&gt;"",COUNTIF($Q$2:$Q$301,Q257)&gt;1),"DOUBLON FACTURE",IF(AND(I257="Réalisé",ABS(G257-H257)&gt;0.001,T257=""),"Écart heures","OK")))))))))</f>
        <v/>
      </c>
      <c r="T257" s="8"/>
    </row>
    <row r="258" spans="1:20" ht="22" customHeight="1">
      <c r="A258" s="8"/>
      <c r="B258" s="6"/>
      <c r="C258" s="8"/>
      <c r="D258" s="9">
        <f>IF(C258="","",IFERROR(VLOOKUP(C258,Clients!$A$2:$M$51,12,FALSE),"CLIENT INCONNU"))</f>
        <v/>
      </c>
      <c r="E258" s="8"/>
      <c r="F258" s="9">
        <f>IF(E258="","",IFERROR(VLOOKUP(E258,Services!$A$2:$D$4,2,FALSE),"SERVICE INCONNU"))</f>
        <v/>
      </c>
      <c r="G258" s="8"/>
      <c r="H258" s="8"/>
      <c r="I258" s="8"/>
      <c r="J258" s="11">
        <f>IF(E258="","",IFERROR(VLOOKUP(E258,Services!$A$2:$D$4,3,FALSE),0))</f>
        <v/>
      </c>
      <c r="K258" s="9">
        <f>IF(C258="","",IFERROR(VLOOKUP(C258,Clients!$A$2:$M$51,11,FALSE),"Non"))</f>
        <v/>
      </c>
      <c r="L258" s="12">
        <f>IF(A258="","",IF(I258&lt;&gt;"Réalisé",0,IF(E258&lt;&gt;"Sexologie",0,IF(K258&lt;&gt;"Oui",0,IF(AND(B258&gt;=Parametres!$B$2,B258&lt;=Parametres!$B$3),Parametres!$B$5,0)))))</f>
        <v/>
      </c>
      <c r="M258" s="11">
        <f>IF(A258="","",IF(I258="Réalisé",ROUND(H258*J258,2),0))</f>
        <v/>
      </c>
      <c r="N258" s="11">
        <f>IF(A258="","",ROUND(M258*L258,2))</f>
        <v/>
      </c>
      <c r="O258" s="11">
        <f>IF(A258="","",ROUND(M258-N258,2))</f>
        <v/>
      </c>
      <c r="P258" s="8"/>
      <c r="Q258" s="8"/>
      <c r="R258" s="13">
        <f>IF(A258="","",IF(I258="Réalisé",H258,0))</f>
        <v/>
      </c>
      <c r="S258" s="9">
        <f>IF(A258="","",IF(COUNTIF($A$2:$A$301,A258)&gt;1,"DOUBLON RDV",IF(COUNTIF(Clients!$A$2:$A$51,C258)&lt;&gt;1,"Client à corriger",IF(COUNTIF(Services!$A$2:$A$4,E258)&lt;&gt;1,"Service à corriger",IF(OR(NOT(ISNUMBER(B258)),G258&lt;=0,H258&lt;0,COUNTIF(ListeStatuts,I258)&lt;&gt;1,COUNTIF(ListeFactures,P258)&lt;&gt;1),"Saisie à corriger",IF(AND(I258="Réalisé",OR(H258&lt;=0,B258&gt;Parametres!$B$7)),"Réalisation à vérifier",IF(AND(P258="Émise",OR(Q258="",I258&lt;&gt;"Réalisé")),"Facture à corriger",IF(AND(Q258&lt;&gt;"",COUNTIF($Q$2:$Q$301,Q258)&gt;1),"DOUBLON FACTURE",IF(AND(I258="Réalisé",ABS(G258-H258)&gt;0.001,T258=""),"Écart heures","OK")))))))))</f>
        <v/>
      </c>
      <c r="T258" s="8"/>
    </row>
    <row r="259" spans="1:20" ht="22" customHeight="1">
      <c r="A259" s="8"/>
      <c r="B259" s="6"/>
      <c r="C259" s="8"/>
      <c r="D259" s="9">
        <f>IF(C259="","",IFERROR(VLOOKUP(C259,Clients!$A$2:$M$51,12,FALSE),"CLIENT INCONNU"))</f>
        <v/>
      </c>
      <c r="E259" s="8"/>
      <c r="F259" s="9">
        <f>IF(E259="","",IFERROR(VLOOKUP(E259,Services!$A$2:$D$4,2,FALSE),"SERVICE INCONNU"))</f>
        <v/>
      </c>
      <c r="G259" s="8"/>
      <c r="H259" s="8"/>
      <c r="I259" s="8"/>
      <c r="J259" s="11">
        <f>IF(E259="","",IFERROR(VLOOKUP(E259,Services!$A$2:$D$4,3,FALSE),0))</f>
        <v/>
      </c>
      <c r="K259" s="9">
        <f>IF(C259="","",IFERROR(VLOOKUP(C259,Clients!$A$2:$M$51,11,FALSE),"Non"))</f>
        <v/>
      </c>
      <c r="L259" s="12">
        <f>IF(A259="","",IF(I259&lt;&gt;"Réalisé",0,IF(E259&lt;&gt;"Sexologie",0,IF(K259&lt;&gt;"Oui",0,IF(AND(B259&gt;=Parametres!$B$2,B259&lt;=Parametres!$B$3),Parametres!$B$5,0)))))</f>
        <v/>
      </c>
      <c r="M259" s="11">
        <f>IF(A259="","",IF(I259="Réalisé",ROUND(H259*J259,2),0))</f>
        <v/>
      </c>
      <c r="N259" s="11">
        <f>IF(A259="","",ROUND(M259*L259,2))</f>
        <v/>
      </c>
      <c r="O259" s="11">
        <f>IF(A259="","",ROUND(M259-N259,2))</f>
        <v/>
      </c>
      <c r="P259" s="8"/>
      <c r="Q259" s="8"/>
      <c r="R259" s="13">
        <f>IF(A259="","",IF(I259="Réalisé",H259,0))</f>
        <v/>
      </c>
      <c r="S259" s="9">
        <f>IF(A259="","",IF(COUNTIF($A$2:$A$301,A259)&gt;1,"DOUBLON RDV",IF(COUNTIF(Clients!$A$2:$A$51,C259)&lt;&gt;1,"Client à corriger",IF(COUNTIF(Services!$A$2:$A$4,E259)&lt;&gt;1,"Service à corriger",IF(OR(NOT(ISNUMBER(B259)),G259&lt;=0,H259&lt;0,COUNTIF(ListeStatuts,I259)&lt;&gt;1,COUNTIF(ListeFactures,P259)&lt;&gt;1),"Saisie à corriger",IF(AND(I259="Réalisé",OR(H259&lt;=0,B259&gt;Parametres!$B$7)),"Réalisation à vérifier",IF(AND(P259="Émise",OR(Q259="",I259&lt;&gt;"Réalisé")),"Facture à corriger",IF(AND(Q259&lt;&gt;"",COUNTIF($Q$2:$Q$301,Q259)&gt;1),"DOUBLON FACTURE",IF(AND(I259="Réalisé",ABS(G259-H259)&gt;0.001,T259=""),"Écart heures","OK")))))))))</f>
        <v/>
      </c>
      <c r="T259" s="8"/>
    </row>
    <row r="260" spans="1:20" ht="22" customHeight="1">
      <c r="A260" s="8"/>
      <c r="B260" s="6"/>
      <c r="C260" s="8"/>
      <c r="D260" s="9">
        <f>IF(C260="","",IFERROR(VLOOKUP(C260,Clients!$A$2:$M$51,12,FALSE),"CLIENT INCONNU"))</f>
        <v/>
      </c>
      <c r="E260" s="8"/>
      <c r="F260" s="9">
        <f>IF(E260="","",IFERROR(VLOOKUP(E260,Services!$A$2:$D$4,2,FALSE),"SERVICE INCONNU"))</f>
        <v/>
      </c>
      <c r="G260" s="8"/>
      <c r="H260" s="8"/>
      <c r="I260" s="8"/>
      <c r="J260" s="11">
        <f>IF(E260="","",IFERROR(VLOOKUP(E260,Services!$A$2:$D$4,3,FALSE),0))</f>
        <v/>
      </c>
      <c r="K260" s="9">
        <f>IF(C260="","",IFERROR(VLOOKUP(C260,Clients!$A$2:$M$51,11,FALSE),"Non"))</f>
        <v/>
      </c>
      <c r="L260" s="12">
        <f>IF(A260="","",IF(I260&lt;&gt;"Réalisé",0,IF(E260&lt;&gt;"Sexologie",0,IF(K260&lt;&gt;"Oui",0,IF(AND(B260&gt;=Parametres!$B$2,B260&lt;=Parametres!$B$3),Parametres!$B$5,0)))))</f>
        <v/>
      </c>
      <c r="M260" s="11">
        <f>IF(A260="","",IF(I260="Réalisé",ROUND(H260*J260,2),0))</f>
        <v/>
      </c>
      <c r="N260" s="11">
        <f>IF(A260="","",ROUND(M260*L260,2))</f>
        <v/>
      </c>
      <c r="O260" s="11">
        <f>IF(A260="","",ROUND(M260-N260,2))</f>
        <v/>
      </c>
      <c r="P260" s="8"/>
      <c r="Q260" s="8"/>
      <c r="R260" s="13">
        <f>IF(A260="","",IF(I260="Réalisé",H260,0))</f>
        <v/>
      </c>
      <c r="S260" s="9">
        <f>IF(A260="","",IF(COUNTIF($A$2:$A$301,A260)&gt;1,"DOUBLON RDV",IF(COUNTIF(Clients!$A$2:$A$51,C260)&lt;&gt;1,"Client à corriger",IF(COUNTIF(Services!$A$2:$A$4,E260)&lt;&gt;1,"Service à corriger",IF(OR(NOT(ISNUMBER(B260)),G260&lt;=0,H260&lt;0,COUNTIF(ListeStatuts,I260)&lt;&gt;1,COUNTIF(ListeFactures,P260)&lt;&gt;1),"Saisie à corriger",IF(AND(I260="Réalisé",OR(H260&lt;=0,B260&gt;Parametres!$B$7)),"Réalisation à vérifier",IF(AND(P260="Émise",OR(Q260="",I260&lt;&gt;"Réalisé")),"Facture à corriger",IF(AND(Q260&lt;&gt;"",COUNTIF($Q$2:$Q$301,Q260)&gt;1),"DOUBLON FACTURE",IF(AND(I260="Réalisé",ABS(G260-H260)&gt;0.001,T260=""),"Écart heures","OK")))))))))</f>
        <v/>
      </c>
      <c r="T260" s="8"/>
    </row>
    <row r="261" spans="1:20" ht="22" customHeight="1">
      <c r="A261" s="8"/>
      <c r="B261" s="6"/>
      <c r="C261" s="8"/>
      <c r="D261" s="9">
        <f>IF(C261="","",IFERROR(VLOOKUP(C261,Clients!$A$2:$M$51,12,FALSE),"CLIENT INCONNU"))</f>
        <v/>
      </c>
      <c r="E261" s="8"/>
      <c r="F261" s="9">
        <f>IF(E261="","",IFERROR(VLOOKUP(E261,Services!$A$2:$D$4,2,FALSE),"SERVICE INCONNU"))</f>
        <v/>
      </c>
      <c r="G261" s="8"/>
      <c r="H261" s="8"/>
      <c r="I261" s="8"/>
      <c r="J261" s="11">
        <f>IF(E261="","",IFERROR(VLOOKUP(E261,Services!$A$2:$D$4,3,FALSE),0))</f>
        <v/>
      </c>
      <c r="K261" s="9">
        <f>IF(C261="","",IFERROR(VLOOKUP(C261,Clients!$A$2:$M$51,11,FALSE),"Non"))</f>
        <v/>
      </c>
      <c r="L261" s="12">
        <f>IF(A261="","",IF(I261&lt;&gt;"Réalisé",0,IF(E261&lt;&gt;"Sexologie",0,IF(K261&lt;&gt;"Oui",0,IF(AND(B261&gt;=Parametres!$B$2,B261&lt;=Parametres!$B$3),Parametres!$B$5,0)))))</f>
        <v/>
      </c>
      <c r="M261" s="11">
        <f>IF(A261="","",IF(I261="Réalisé",ROUND(H261*J261,2),0))</f>
        <v/>
      </c>
      <c r="N261" s="11">
        <f>IF(A261="","",ROUND(M261*L261,2))</f>
        <v/>
      </c>
      <c r="O261" s="11">
        <f>IF(A261="","",ROUND(M261-N261,2))</f>
        <v/>
      </c>
      <c r="P261" s="8"/>
      <c r="Q261" s="8"/>
      <c r="R261" s="13">
        <f>IF(A261="","",IF(I261="Réalisé",H261,0))</f>
        <v/>
      </c>
      <c r="S261" s="9">
        <f>IF(A261="","",IF(COUNTIF($A$2:$A$301,A261)&gt;1,"DOUBLON RDV",IF(COUNTIF(Clients!$A$2:$A$51,C261)&lt;&gt;1,"Client à corriger",IF(COUNTIF(Services!$A$2:$A$4,E261)&lt;&gt;1,"Service à corriger",IF(OR(NOT(ISNUMBER(B261)),G261&lt;=0,H261&lt;0,COUNTIF(ListeStatuts,I261)&lt;&gt;1,COUNTIF(ListeFactures,P261)&lt;&gt;1),"Saisie à corriger",IF(AND(I261="Réalisé",OR(H261&lt;=0,B261&gt;Parametres!$B$7)),"Réalisation à vérifier",IF(AND(P261="Émise",OR(Q261="",I261&lt;&gt;"Réalisé")),"Facture à corriger",IF(AND(Q261&lt;&gt;"",COUNTIF($Q$2:$Q$301,Q261)&gt;1),"DOUBLON FACTURE",IF(AND(I261="Réalisé",ABS(G261-H261)&gt;0.001,T261=""),"Écart heures","OK")))))))))</f>
        <v/>
      </c>
      <c r="T261" s="8"/>
    </row>
    <row r="262" spans="1:20" ht="22" customHeight="1">
      <c r="A262" s="8"/>
      <c r="B262" s="6"/>
      <c r="C262" s="8"/>
      <c r="D262" s="9">
        <f>IF(C262="","",IFERROR(VLOOKUP(C262,Clients!$A$2:$M$51,12,FALSE),"CLIENT INCONNU"))</f>
        <v/>
      </c>
      <c r="E262" s="8"/>
      <c r="F262" s="9">
        <f>IF(E262="","",IFERROR(VLOOKUP(E262,Services!$A$2:$D$4,2,FALSE),"SERVICE INCONNU"))</f>
        <v/>
      </c>
      <c r="G262" s="8"/>
      <c r="H262" s="8"/>
      <c r="I262" s="8"/>
      <c r="J262" s="11">
        <f>IF(E262="","",IFERROR(VLOOKUP(E262,Services!$A$2:$D$4,3,FALSE),0))</f>
        <v/>
      </c>
      <c r="K262" s="9">
        <f>IF(C262="","",IFERROR(VLOOKUP(C262,Clients!$A$2:$M$51,11,FALSE),"Non"))</f>
        <v/>
      </c>
      <c r="L262" s="12">
        <f>IF(A262="","",IF(I262&lt;&gt;"Réalisé",0,IF(E262&lt;&gt;"Sexologie",0,IF(K262&lt;&gt;"Oui",0,IF(AND(B262&gt;=Parametres!$B$2,B262&lt;=Parametres!$B$3),Parametres!$B$5,0)))))</f>
        <v/>
      </c>
      <c r="M262" s="11">
        <f>IF(A262="","",IF(I262="Réalisé",ROUND(H262*J262,2),0))</f>
        <v/>
      </c>
      <c r="N262" s="11">
        <f>IF(A262="","",ROUND(M262*L262,2))</f>
        <v/>
      </c>
      <c r="O262" s="11">
        <f>IF(A262="","",ROUND(M262-N262,2))</f>
        <v/>
      </c>
      <c r="P262" s="8"/>
      <c r="Q262" s="8"/>
      <c r="R262" s="13">
        <f>IF(A262="","",IF(I262="Réalisé",H262,0))</f>
        <v/>
      </c>
      <c r="S262" s="9">
        <f>IF(A262="","",IF(COUNTIF($A$2:$A$301,A262)&gt;1,"DOUBLON RDV",IF(COUNTIF(Clients!$A$2:$A$51,C262)&lt;&gt;1,"Client à corriger",IF(COUNTIF(Services!$A$2:$A$4,E262)&lt;&gt;1,"Service à corriger",IF(OR(NOT(ISNUMBER(B262)),G262&lt;=0,H262&lt;0,COUNTIF(ListeStatuts,I262)&lt;&gt;1,COUNTIF(ListeFactures,P262)&lt;&gt;1),"Saisie à corriger",IF(AND(I262="Réalisé",OR(H262&lt;=0,B262&gt;Parametres!$B$7)),"Réalisation à vérifier",IF(AND(P262="Émise",OR(Q262="",I262&lt;&gt;"Réalisé")),"Facture à corriger",IF(AND(Q262&lt;&gt;"",COUNTIF($Q$2:$Q$301,Q262)&gt;1),"DOUBLON FACTURE",IF(AND(I262="Réalisé",ABS(G262-H262)&gt;0.001,T262=""),"Écart heures","OK")))))))))</f>
        <v/>
      </c>
      <c r="T262" s="8"/>
    </row>
    <row r="263" spans="1:20" ht="22" customHeight="1">
      <c r="A263" s="8"/>
      <c r="B263" s="6"/>
      <c r="C263" s="8"/>
      <c r="D263" s="9">
        <f>IF(C263="","",IFERROR(VLOOKUP(C263,Clients!$A$2:$M$51,12,FALSE),"CLIENT INCONNU"))</f>
        <v/>
      </c>
      <c r="E263" s="8"/>
      <c r="F263" s="9">
        <f>IF(E263="","",IFERROR(VLOOKUP(E263,Services!$A$2:$D$4,2,FALSE),"SERVICE INCONNU"))</f>
        <v/>
      </c>
      <c r="G263" s="8"/>
      <c r="H263" s="8"/>
      <c r="I263" s="8"/>
      <c r="J263" s="11">
        <f>IF(E263="","",IFERROR(VLOOKUP(E263,Services!$A$2:$D$4,3,FALSE),0))</f>
        <v/>
      </c>
      <c r="K263" s="9">
        <f>IF(C263="","",IFERROR(VLOOKUP(C263,Clients!$A$2:$M$51,11,FALSE),"Non"))</f>
        <v/>
      </c>
      <c r="L263" s="12">
        <f>IF(A263="","",IF(I263&lt;&gt;"Réalisé",0,IF(E263&lt;&gt;"Sexologie",0,IF(K263&lt;&gt;"Oui",0,IF(AND(B263&gt;=Parametres!$B$2,B263&lt;=Parametres!$B$3),Parametres!$B$5,0)))))</f>
        <v/>
      </c>
      <c r="M263" s="11">
        <f>IF(A263="","",IF(I263="Réalisé",ROUND(H263*J263,2),0))</f>
        <v/>
      </c>
      <c r="N263" s="11">
        <f>IF(A263="","",ROUND(M263*L263,2))</f>
        <v/>
      </c>
      <c r="O263" s="11">
        <f>IF(A263="","",ROUND(M263-N263,2))</f>
        <v/>
      </c>
      <c r="P263" s="8"/>
      <c r="Q263" s="8"/>
      <c r="R263" s="13">
        <f>IF(A263="","",IF(I263="Réalisé",H263,0))</f>
        <v/>
      </c>
      <c r="S263" s="9">
        <f>IF(A263="","",IF(COUNTIF($A$2:$A$301,A263)&gt;1,"DOUBLON RDV",IF(COUNTIF(Clients!$A$2:$A$51,C263)&lt;&gt;1,"Client à corriger",IF(COUNTIF(Services!$A$2:$A$4,E263)&lt;&gt;1,"Service à corriger",IF(OR(NOT(ISNUMBER(B263)),G263&lt;=0,H263&lt;0,COUNTIF(ListeStatuts,I263)&lt;&gt;1,COUNTIF(ListeFactures,P263)&lt;&gt;1),"Saisie à corriger",IF(AND(I263="Réalisé",OR(H263&lt;=0,B263&gt;Parametres!$B$7)),"Réalisation à vérifier",IF(AND(P263="Émise",OR(Q263="",I263&lt;&gt;"Réalisé")),"Facture à corriger",IF(AND(Q263&lt;&gt;"",COUNTIF($Q$2:$Q$301,Q263)&gt;1),"DOUBLON FACTURE",IF(AND(I263="Réalisé",ABS(G263-H263)&gt;0.001,T263=""),"Écart heures","OK")))))))))</f>
        <v/>
      </c>
      <c r="T263" s="8"/>
    </row>
    <row r="264" spans="1:20" ht="22" customHeight="1">
      <c r="A264" s="8"/>
      <c r="B264" s="6"/>
      <c r="C264" s="8"/>
      <c r="D264" s="9">
        <f>IF(C264="","",IFERROR(VLOOKUP(C264,Clients!$A$2:$M$51,12,FALSE),"CLIENT INCONNU"))</f>
        <v/>
      </c>
      <c r="E264" s="8"/>
      <c r="F264" s="9">
        <f>IF(E264="","",IFERROR(VLOOKUP(E264,Services!$A$2:$D$4,2,FALSE),"SERVICE INCONNU"))</f>
        <v/>
      </c>
      <c r="G264" s="8"/>
      <c r="H264" s="8"/>
      <c r="I264" s="8"/>
      <c r="J264" s="11">
        <f>IF(E264="","",IFERROR(VLOOKUP(E264,Services!$A$2:$D$4,3,FALSE),0))</f>
        <v/>
      </c>
      <c r="K264" s="9">
        <f>IF(C264="","",IFERROR(VLOOKUP(C264,Clients!$A$2:$M$51,11,FALSE),"Non"))</f>
        <v/>
      </c>
      <c r="L264" s="12">
        <f>IF(A264="","",IF(I264&lt;&gt;"Réalisé",0,IF(E264&lt;&gt;"Sexologie",0,IF(K264&lt;&gt;"Oui",0,IF(AND(B264&gt;=Parametres!$B$2,B264&lt;=Parametres!$B$3),Parametres!$B$5,0)))))</f>
        <v/>
      </c>
      <c r="M264" s="11">
        <f>IF(A264="","",IF(I264="Réalisé",ROUND(H264*J264,2),0))</f>
        <v/>
      </c>
      <c r="N264" s="11">
        <f>IF(A264="","",ROUND(M264*L264,2))</f>
        <v/>
      </c>
      <c r="O264" s="11">
        <f>IF(A264="","",ROUND(M264-N264,2))</f>
        <v/>
      </c>
      <c r="P264" s="8"/>
      <c r="Q264" s="8"/>
      <c r="R264" s="13">
        <f>IF(A264="","",IF(I264="Réalisé",H264,0))</f>
        <v/>
      </c>
      <c r="S264" s="9">
        <f>IF(A264="","",IF(COUNTIF($A$2:$A$301,A264)&gt;1,"DOUBLON RDV",IF(COUNTIF(Clients!$A$2:$A$51,C264)&lt;&gt;1,"Client à corriger",IF(COUNTIF(Services!$A$2:$A$4,E264)&lt;&gt;1,"Service à corriger",IF(OR(NOT(ISNUMBER(B264)),G264&lt;=0,H264&lt;0,COUNTIF(ListeStatuts,I264)&lt;&gt;1,COUNTIF(ListeFactures,P264)&lt;&gt;1),"Saisie à corriger",IF(AND(I264="Réalisé",OR(H264&lt;=0,B264&gt;Parametres!$B$7)),"Réalisation à vérifier",IF(AND(P264="Émise",OR(Q264="",I264&lt;&gt;"Réalisé")),"Facture à corriger",IF(AND(Q264&lt;&gt;"",COUNTIF($Q$2:$Q$301,Q264)&gt;1),"DOUBLON FACTURE",IF(AND(I264="Réalisé",ABS(G264-H264)&gt;0.001,T264=""),"Écart heures","OK")))))))))</f>
        <v/>
      </c>
      <c r="T264" s="8"/>
    </row>
    <row r="265" spans="1:20" ht="22" customHeight="1">
      <c r="A265" s="8"/>
      <c r="B265" s="6"/>
      <c r="C265" s="8"/>
      <c r="D265" s="9">
        <f>IF(C265="","",IFERROR(VLOOKUP(C265,Clients!$A$2:$M$51,12,FALSE),"CLIENT INCONNU"))</f>
        <v/>
      </c>
      <c r="E265" s="8"/>
      <c r="F265" s="9">
        <f>IF(E265="","",IFERROR(VLOOKUP(E265,Services!$A$2:$D$4,2,FALSE),"SERVICE INCONNU"))</f>
        <v/>
      </c>
      <c r="G265" s="8"/>
      <c r="H265" s="8"/>
      <c r="I265" s="8"/>
      <c r="J265" s="11">
        <f>IF(E265="","",IFERROR(VLOOKUP(E265,Services!$A$2:$D$4,3,FALSE),0))</f>
        <v/>
      </c>
      <c r="K265" s="9">
        <f>IF(C265="","",IFERROR(VLOOKUP(C265,Clients!$A$2:$M$51,11,FALSE),"Non"))</f>
        <v/>
      </c>
      <c r="L265" s="12">
        <f>IF(A265="","",IF(I265&lt;&gt;"Réalisé",0,IF(E265&lt;&gt;"Sexologie",0,IF(K265&lt;&gt;"Oui",0,IF(AND(B265&gt;=Parametres!$B$2,B265&lt;=Parametres!$B$3),Parametres!$B$5,0)))))</f>
        <v/>
      </c>
      <c r="M265" s="11">
        <f>IF(A265="","",IF(I265="Réalisé",ROUND(H265*J265,2),0))</f>
        <v/>
      </c>
      <c r="N265" s="11">
        <f>IF(A265="","",ROUND(M265*L265,2))</f>
        <v/>
      </c>
      <c r="O265" s="11">
        <f>IF(A265="","",ROUND(M265-N265,2))</f>
        <v/>
      </c>
      <c r="P265" s="8"/>
      <c r="Q265" s="8"/>
      <c r="R265" s="13">
        <f>IF(A265="","",IF(I265="Réalisé",H265,0))</f>
        <v/>
      </c>
      <c r="S265" s="9">
        <f>IF(A265="","",IF(COUNTIF($A$2:$A$301,A265)&gt;1,"DOUBLON RDV",IF(COUNTIF(Clients!$A$2:$A$51,C265)&lt;&gt;1,"Client à corriger",IF(COUNTIF(Services!$A$2:$A$4,E265)&lt;&gt;1,"Service à corriger",IF(OR(NOT(ISNUMBER(B265)),G265&lt;=0,H265&lt;0,COUNTIF(ListeStatuts,I265)&lt;&gt;1,COUNTIF(ListeFactures,P265)&lt;&gt;1),"Saisie à corriger",IF(AND(I265="Réalisé",OR(H265&lt;=0,B265&gt;Parametres!$B$7)),"Réalisation à vérifier",IF(AND(P265="Émise",OR(Q265="",I265&lt;&gt;"Réalisé")),"Facture à corriger",IF(AND(Q265&lt;&gt;"",COUNTIF($Q$2:$Q$301,Q265)&gt;1),"DOUBLON FACTURE",IF(AND(I265="Réalisé",ABS(G265-H265)&gt;0.001,T265=""),"Écart heures","OK")))))))))</f>
        <v/>
      </c>
      <c r="T265" s="8"/>
    </row>
    <row r="266" spans="1:20" ht="22" customHeight="1">
      <c r="A266" s="8"/>
      <c r="B266" s="6"/>
      <c r="C266" s="8"/>
      <c r="D266" s="9">
        <f>IF(C266="","",IFERROR(VLOOKUP(C266,Clients!$A$2:$M$51,12,FALSE),"CLIENT INCONNU"))</f>
        <v/>
      </c>
      <c r="E266" s="8"/>
      <c r="F266" s="9">
        <f>IF(E266="","",IFERROR(VLOOKUP(E266,Services!$A$2:$D$4,2,FALSE),"SERVICE INCONNU"))</f>
        <v/>
      </c>
      <c r="G266" s="8"/>
      <c r="H266" s="8"/>
      <c r="I266" s="8"/>
      <c r="J266" s="11">
        <f>IF(E266="","",IFERROR(VLOOKUP(E266,Services!$A$2:$D$4,3,FALSE),0))</f>
        <v/>
      </c>
      <c r="K266" s="9">
        <f>IF(C266="","",IFERROR(VLOOKUP(C266,Clients!$A$2:$M$51,11,FALSE),"Non"))</f>
        <v/>
      </c>
      <c r="L266" s="12">
        <f>IF(A266="","",IF(I266&lt;&gt;"Réalisé",0,IF(E266&lt;&gt;"Sexologie",0,IF(K266&lt;&gt;"Oui",0,IF(AND(B266&gt;=Parametres!$B$2,B266&lt;=Parametres!$B$3),Parametres!$B$5,0)))))</f>
        <v/>
      </c>
      <c r="M266" s="11">
        <f>IF(A266="","",IF(I266="Réalisé",ROUND(H266*J266,2),0))</f>
        <v/>
      </c>
      <c r="N266" s="11">
        <f>IF(A266="","",ROUND(M266*L266,2))</f>
        <v/>
      </c>
      <c r="O266" s="11">
        <f>IF(A266="","",ROUND(M266-N266,2))</f>
        <v/>
      </c>
      <c r="P266" s="8"/>
      <c r="Q266" s="8"/>
      <c r="R266" s="13">
        <f>IF(A266="","",IF(I266="Réalisé",H266,0))</f>
        <v/>
      </c>
      <c r="S266" s="9">
        <f>IF(A266="","",IF(COUNTIF($A$2:$A$301,A266)&gt;1,"DOUBLON RDV",IF(COUNTIF(Clients!$A$2:$A$51,C266)&lt;&gt;1,"Client à corriger",IF(COUNTIF(Services!$A$2:$A$4,E266)&lt;&gt;1,"Service à corriger",IF(OR(NOT(ISNUMBER(B266)),G266&lt;=0,H266&lt;0,COUNTIF(ListeStatuts,I266)&lt;&gt;1,COUNTIF(ListeFactures,P266)&lt;&gt;1),"Saisie à corriger",IF(AND(I266="Réalisé",OR(H266&lt;=0,B266&gt;Parametres!$B$7)),"Réalisation à vérifier",IF(AND(P266="Émise",OR(Q266="",I266&lt;&gt;"Réalisé")),"Facture à corriger",IF(AND(Q266&lt;&gt;"",COUNTIF($Q$2:$Q$301,Q266)&gt;1),"DOUBLON FACTURE",IF(AND(I266="Réalisé",ABS(G266-H266)&gt;0.001,T266=""),"Écart heures","OK")))))))))</f>
        <v/>
      </c>
      <c r="T266" s="8"/>
    </row>
    <row r="267" spans="1:20" ht="22" customHeight="1">
      <c r="A267" s="8"/>
      <c r="B267" s="6"/>
      <c r="C267" s="8"/>
      <c r="D267" s="9">
        <f>IF(C267="","",IFERROR(VLOOKUP(C267,Clients!$A$2:$M$51,12,FALSE),"CLIENT INCONNU"))</f>
        <v/>
      </c>
      <c r="E267" s="8"/>
      <c r="F267" s="9">
        <f>IF(E267="","",IFERROR(VLOOKUP(E267,Services!$A$2:$D$4,2,FALSE),"SERVICE INCONNU"))</f>
        <v/>
      </c>
      <c r="G267" s="8"/>
      <c r="H267" s="8"/>
      <c r="I267" s="8"/>
      <c r="J267" s="11">
        <f>IF(E267="","",IFERROR(VLOOKUP(E267,Services!$A$2:$D$4,3,FALSE),0))</f>
        <v/>
      </c>
      <c r="K267" s="9">
        <f>IF(C267="","",IFERROR(VLOOKUP(C267,Clients!$A$2:$M$51,11,FALSE),"Non"))</f>
        <v/>
      </c>
      <c r="L267" s="12">
        <f>IF(A267="","",IF(I267&lt;&gt;"Réalisé",0,IF(E267&lt;&gt;"Sexologie",0,IF(K267&lt;&gt;"Oui",0,IF(AND(B267&gt;=Parametres!$B$2,B267&lt;=Parametres!$B$3),Parametres!$B$5,0)))))</f>
        <v/>
      </c>
      <c r="M267" s="11">
        <f>IF(A267="","",IF(I267="Réalisé",ROUND(H267*J267,2),0))</f>
        <v/>
      </c>
      <c r="N267" s="11">
        <f>IF(A267="","",ROUND(M267*L267,2))</f>
        <v/>
      </c>
      <c r="O267" s="11">
        <f>IF(A267="","",ROUND(M267-N267,2))</f>
        <v/>
      </c>
      <c r="P267" s="8"/>
      <c r="Q267" s="8"/>
      <c r="R267" s="13">
        <f>IF(A267="","",IF(I267="Réalisé",H267,0))</f>
        <v/>
      </c>
      <c r="S267" s="9">
        <f>IF(A267="","",IF(COUNTIF($A$2:$A$301,A267)&gt;1,"DOUBLON RDV",IF(COUNTIF(Clients!$A$2:$A$51,C267)&lt;&gt;1,"Client à corriger",IF(COUNTIF(Services!$A$2:$A$4,E267)&lt;&gt;1,"Service à corriger",IF(OR(NOT(ISNUMBER(B267)),G267&lt;=0,H267&lt;0,COUNTIF(ListeStatuts,I267)&lt;&gt;1,COUNTIF(ListeFactures,P267)&lt;&gt;1),"Saisie à corriger",IF(AND(I267="Réalisé",OR(H267&lt;=0,B267&gt;Parametres!$B$7)),"Réalisation à vérifier",IF(AND(P267="Émise",OR(Q267="",I267&lt;&gt;"Réalisé")),"Facture à corriger",IF(AND(Q267&lt;&gt;"",COUNTIF($Q$2:$Q$301,Q267)&gt;1),"DOUBLON FACTURE",IF(AND(I267="Réalisé",ABS(G267-H267)&gt;0.001,T267=""),"Écart heures","OK")))))))))</f>
        <v/>
      </c>
      <c r="T267" s="8"/>
    </row>
    <row r="268" spans="1:20" ht="22" customHeight="1">
      <c r="A268" s="8"/>
      <c r="B268" s="6"/>
      <c r="C268" s="8"/>
      <c r="D268" s="9">
        <f>IF(C268="","",IFERROR(VLOOKUP(C268,Clients!$A$2:$M$51,12,FALSE),"CLIENT INCONNU"))</f>
        <v/>
      </c>
      <c r="E268" s="8"/>
      <c r="F268" s="9">
        <f>IF(E268="","",IFERROR(VLOOKUP(E268,Services!$A$2:$D$4,2,FALSE),"SERVICE INCONNU"))</f>
        <v/>
      </c>
      <c r="G268" s="8"/>
      <c r="H268" s="8"/>
      <c r="I268" s="8"/>
      <c r="J268" s="11">
        <f>IF(E268="","",IFERROR(VLOOKUP(E268,Services!$A$2:$D$4,3,FALSE),0))</f>
        <v/>
      </c>
      <c r="K268" s="9">
        <f>IF(C268="","",IFERROR(VLOOKUP(C268,Clients!$A$2:$M$51,11,FALSE),"Non"))</f>
        <v/>
      </c>
      <c r="L268" s="12">
        <f>IF(A268="","",IF(I268&lt;&gt;"Réalisé",0,IF(E268&lt;&gt;"Sexologie",0,IF(K268&lt;&gt;"Oui",0,IF(AND(B268&gt;=Parametres!$B$2,B268&lt;=Parametres!$B$3),Parametres!$B$5,0)))))</f>
        <v/>
      </c>
      <c r="M268" s="11">
        <f>IF(A268="","",IF(I268="Réalisé",ROUND(H268*J268,2),0))</f>
        <v/>
      </c>
      <c r="N268" s="11">
        <f>IF(A268="","",ROUND(M268*L268,2))</f>
        <v/>
      </c>
      <c r="O268" s="11">
        <f>IF(A268="","",ROUND(M268-N268,2))</f>
        <v/>
      </c>
      <c r="P268" s="8"/>
      <c r="Q268" s="8"/>
      <c r="R268" s="13">
        <f>IF(A268="","",IF(I268="Réalisé",H268,0))</f>
        <v/>
      </c>
      <c r="S268" s="9">
        <f>IF(A268="","",IF(COUNTIF($A$2:$A$301,A268)&gt;1,"DOUBLON RDV",IF(COUNTIF(Clients!$A$2:$A$51,C268)&lt;&gt;1,"Client à corriger",IF(COUNTIF(Services!$A$2:$A$4,E268)&lt;&gt;1,"Service à corriger",IF(OR(NOT(ISNUMBER(B268)),G268&lt;=0,H268&lt;0,COUNTIF(ListeStatuts,I268)&lt;&gt;1,COUNTIF(ListeFactures,P268)&lt;&gt;1),"Saisie à corriger",IF(AND(I268="Réalisé",OR(H268&lt;=0,B268&gt;Parametres!$B$7)),"Réalisation à vérifier",IF(AND(P268="Émise",OR(Q268="",I268&lt;&gt;"Réalisé")),"Facture à corriger",IF(AND(Q268&lt;&gt;"",COUNTIF($Q$2:$Q$301,Q268)&gt;1),"DOUBLON FACTURE",IF(AND(I268="Réalisé",ABS(G268-H268)&gt;0.001,T268=""),"Écart heures","OK")))))))))</f>
        <v/>
      </c>
      <c r="T268" s="8"/>
    </row>
    <row r="269" spans="1:20" ht="22" customHeight="1">
      <c r="A269" s="8"/>
      <c r="B269" s="6"/>
      <c r="C269" s="8"/>
      <c r="D269" s="9">
        <f>IF(C269="","",IFERROR(VLOOKUP(C269,Clients!$A$2:$M$51,12,FALSE),"CLIENT INCONNU"))</f>
        <v/>
      </c>
      <c r="E269" s="8"/>
      <c r="F269" s="9">
        <f>IF(E269="","",IFERROR(VLOOKUP(E269,Services!$A$2:$D$4,2,FALSE),"SERVICE INCONNU"))</f>
        <v/>
      </c>
      <c r="G269" s="8"/>
      <c r="H269" s="8"/>
      <c r="I269" s="8"/>
      <c r="J269" s="11">
        <f>IF(E269="","",IFERROR(VLOOKUP(E269,Services!$A$2:$D$4,3,FALSE),0))</f>
        <v/>
      </c>
      <c r="K269" s="9">
        <f>IF(C269="","",IFERROR(VLOOKUP(C269,Clients!$A$2:$M$51,11,FALSE),"Non"))</f>
        <v/>
      </c>
      <c r="L269" s="12">
        <f>IF(A269="","",IF(I269&lt;&gt;"Réalisé",0,IF(E269&lt;&gt;"Sexologie",0,IF(K269&lt;&gt;"Oui",0,IF(AND(B269&gt;=Parametres!$B$2,B269&lt;=Parametres!$B$3),Parametres!$B$5,0)))))</f>
        <v/>
      </c>
      <c r="M269" s="11">
        <f>IF(A269="","",IF(I269="Réalisé",ROUND(H269*J269,2),0))</f>
        <v/>
      </c>
      <c r="N269" s="11">
        <f>IF(A269="","",ROUND(M269*L269,2))</f>
        <v/>
      </c>
      <c r="O269" s="11">
        <f>IF(A269="","",ROUND(M269-N269,2))</f>
        <v/>
      </c>
      <c r="P269" s="8"/>
      <c r="Q269" s="8"/>
      <c r="R269" s="13">
        <f>IF(A269="","",IF(I269="Réalisé",H269,0))</f>
        <v/>
      </c>
      <c r="S269" s="9">
        <f>IF(A269="","",IF(COUNTIF($A$2:$A$301,A269)&gt;1,"DOUBLON RDV",IF(COUNTIF(Clients!$A$2:$A$51,C269)&lt;&gt;1,"Client à corriger",IF(COUNTIF(Services!$A$2:$A$4,E269)&lt;&gt;1,"Service à corriger",IF(OR(NOT(ISNUMBER(B269)),G269&lt;=0,H269&lt;0,COUNTIF(ListeStatuts,I269)&lt;&gt;1,COUNTIF(ListeFactures,P269)&lt;&gt;1),"Saisie à corriger",IF(AND(I269="Réalisé",OR(H269&lt;=0,B269&gt;Parametres!$B$7)),"Réalisation à vérifier",IF(AND(P269="Émise",OR(Q269="",I269&lt;&gt;"Réalisé")),"Facture à corriger",IF(AND(Q269&lt;&gt;"",COUNTIF($Q$2:$Q$301,Q269)&gt;1),"DOUBLON FACTURE",IF(AND(I269="Réalisé",ABS(G269-H269)&gt;0.001,T269=""),"Écart heures","OK")))))))))</f>
        <v/>
      </c>
      <c r="T269" s="8"/>
    </row>
    <row r="270" spans="1:20" ht="22" customHeight="1">
      <c r="A270" s="8"/>
      <c r="B270" s="6"/>
      <c r="C270" s="8"/>
      <c r="D270" s="9">
        <f>IF(C270="","",IFERROR(VLOOKUP(C270,Clients!$A$2:$M$51,12,FALSE),"CLIENT INCONNU"))</f>
        <v/>
      </c>
      <c r="E270" s="8"/>
      <c r="F270" s="9">
        <f>IF(E270="","",IFERROR(VLOOKUP(E270,Services!$A$2:$D$4,2,FALSE),"SERVICE INCONNU"))</f>
        <v/>
      </c>
      <c r="G270" s="8"/>
      <c r="H270" s="8"/>
      <c r="I270" s="8"/>
      <c r="J270" s="11">
        <f>IF(E270="","",IFERROR(VLOOKUP(E270,Services!$A$2:$D$4,3,FALSE),0))</f>
        <v/>
      </c>
      <c r="K270" s="9">
        <f>IF(C270="","",IFERROR(VLOOKUP(C270,Clients!$A$2:$M$51,11,FALSE),"Non"))</f>
        <v/>
      </c>
      <c r="L270" s="12">
        <f>IF(A270="","",IF(I270&lt;&gt;"Réalisé",0,IF(E270&lt;&gt;"Sexologie",0,IF(K270&lt;&gt;"Oui",0,IF(AND(B270&gt;=Parametres!$B$2,B270&lt;=Parametres!$B$3),Parametres!$B$5,0)))))</f>
        <v/>
      </c>
      <c r="M270" s="11">
        <f>IF(A270="","",IF(I270="Réalisé",ROUND(H270*J270,2),0))</f>
        <v/>
      </c>
      <c r="N270" s="11">
        <f>IF(A270="","",ROUND(M270*L270,2))</f>
        <v/>
      </c>
      <c r="O270" s="11">
        <f>IF(A270="","",ROUND(M270-N270,2))</f>
        <v/>
      </c>
      <c r="P270" s="8"/>
      <c r="Q270" s="8"/>
      <c r="R270" s="13">
        <f>IF(A270="","",IF(I270="Réalisé",H270,0))</f>
        <v/>
      </c>
      <c r="S270" s="9">
        <f>IF(A270="","",IF(COUNTIF($A$2:$A$301,A270)&gt;1,"DOUBLON RDV",IF(COUNTIF(Clients!$A$2:$A$51,C270)&lt;&gt;1,"Client à corriger",IF(COUNTIF(Services!$A$2:$A$4,E270)&lt;&gt;1,"Service à corriger",IF(OR(NOT(ISNUMBER(B270)),G270&lt;=0,H270&lt;0,COUNTIF(ListeStatuts,I270)&lt;&gt;1,COUNTIF(ListeFactures,P270)&lt;&gt;1),"Saisie à corriger",IF(AND(I270="Réalisé",OR(H270&lt;=0,B270&gt;Parametres!$B$7)),"Réalisation à vérifier",IF(AND(P270="Émise",OR(Q270="",I270&lt;&gt;"Réalisé")),"Facture à corriger",IF(AND(Q270&lt;&gt;"",COUNTIF($Q$2:$Q$301,Q270)&gt;1),"DOUBLON FACTURE",IF(AND(I270="Réalisé",ABS(G270-H270)&gt;0.001,T270=""),"Écart heures","OK")))))))))</f>
        <v/>
      </c>
      <c r="T270" s="8"/>
    </row>
    <row r="271" spans="1:20" ht="22" customHeight="1">
      <c r="A271" s="8"/>
      <c r="B271" s="6"/>
      <c r="C271" s="8"/>
      <c r="D271" s="9">
        <f>IF(C271="","",IFERROR(VLOOKUP(C271,Clients!$A$2:$M$51,12,FALSE),"CLIENT INCONNU"))</f>
        <v/>
      </c>
      <c r="E271" s="8"/>
      <c r="F271" s="9">
        <f>IF(E271="","",IFERROR(VLOOKUP(E271,Services!$A$2:$D$4,2,FALSE),"SERVICE INCONNU"))</f>
        <v/>
      </c>
      <c r="G271" s="8"/>
      <c r="H271" s="8"/>
      <c r="I271" s="8"/>
      <c r="J271" s="11">
        <f>IF(E271="","",IFERROR(VLOOKUP(E271,Services!$A$2:$D$4,3,FALSE),0))</f>
        <v/>
      </c>
      <c r="K271" s="9">
        <f>IF(C271="","",IFERROR(VLOOKUP(C271,Clients!$A$2:$M$51,11,FALSE),"Non"))</f>
        <v/>
      </c>
      <c r="L271" s="12">
        <f>IF(A271="","",IF(I271&lt;&gt;"Réalisé",0,IF(E271&lt;&gt;"Sexologie",0,IF(K271&lt;&gt;"Oui",0,IF(AND(B271&gt;=Parametres!$B$2,B271&lt;=Parametres!$B$3),Parametres!$B$5,0)))))</f>
        <v/>
      </c>
      <c r="M271" s="11">
        <f>IF(A271="","",IF(I271="Réalisé",ROUND(H271*J271,2),0))</f>
        <v/>
      </c>
      <c r="N271" s="11">
        <f>IF(A271="","",ROUND(M271*L271,2))</f>
        <v/>
      </c>
      <c r="O271" s="11">
        <f>IF(A271="","",ROUND(M271-N271,2))</f>
        <v/>
      </c>
      <c r="P271" s="8"/>
      <c r="Q271" s="8"/>
      <c r="R271" s="13">
        <f>IF(A271="","",IF(I271="Réalisé",H271,0))</f>
        <v/>
      </c>
      <c r="S271" s="9">
        <f>IF(A271="","",IF(COUNTIF($A$2:$A$301,A271)&gt;1,"DOUBLON RDV",IF(COUNTIF(Clients!$A$2:$A$51,C271)&lt;&gt;1,"Client à corriger",IF(COUNTIF(Services!$A$2:$A$4,E271)&lt;&gt;1,"Service à corriger",IF(OR(NOT(ISNUMBER(B271)),G271&lt;=0,H271&lt;0,COUNTIF(ListeStatuts,I271)&lt;&gt;1,COUNTIF(ListeFactures,P271)&lt;&gt;1),"Saisie à corriger",IF(AND(I271="Réalisé",OR(H271&lt;=0,B271&gt;Parametres!$B$7)),"Réalisation à vérifier",IF(AND(P271="Émise",OR(Q271="",I271&lt;&gt;"Réalisé")),"Facture à corriger",IF(AND(Q271&lt;&gt;"",COUNTIF($Q$2:$Q$301,Q271)&gt;1),"DOUBLON FACTURE",IF(AND(I271="Réalisé",ABS(G271-H271)&gt;0.001,T271=""),"Écart heures","OK")))))))))</f>
        <v/>
      </c>
      <c r="T271" s="8"/>
    </row>
    <row r="272" spans="1:20" ht="22" customHeight="1">
      <c r="A272" s="8"/>
      <c r="B272" s="6"/>
      <c r="C272" s="8"/>
      <c r="D272" s="9">
        <f>IF(C272="","",IFERROR(VLOOKUP(C272,Clients!$A$2:$M$51,12,FALSE),"CLIENT INCONNU"))</f>
        <v/>
      </c>
      <c r="E272" s="8"/>
      <c r="F272" s="9">
        <f>IF(E272="","",IFERROR(VLOOKUP(E272,Services!$A$2:$D$4,2,FALSE),"SERVICE INCONNU"))</f>
        <v/>
      </c>
      <c r="G272" s="8"/>
      <c r="H272" s="8"/>
      <c r="I272" s="8"/>
      <c r="J272" s="11">
        <f>IF(E272="","",IFERROR(VLOOKUP(E272,Services!$A$2:$D$4,3,FALSE),0))</f>
        <v/>
      </c>
      <c r="K272" s="9">
        <f>IF(C272="","",IFERROR(VLOOKUP(C272,Clients!$A$2:$M$51,11,FALSE),"Non"))</f>
        <v/>
      </c>
      <c r="L272" s="12">
        <f>IF(A272="","",IF(I272&lt;&gt;"Réalisé",0,IF(E272&lt;&gt;"Sexologie",0,IF(K272&lt;&gt;"Oui",0,IF(AND(B272&gt;=Parametres!$B$2,B272&lt;=Parametres!$B$3),Parametres!$B$5,0)))))</f>
        <v/>
      </c>
      <c r="M272" s="11">
        <f>IF(A272="","",IF(I272="Réalisé",ROUND(H272*J272,2),0))</f>
        <v/>
      </c>
      <c r="N272" s="11">
        <f>IF(A272="","",ROUND(M272*L272,2))</f>
        <v/>
      </c>
      <c r="O272" s="11">
        <f>IF(A272="","",ROUND(M272-N272,2))</f>
        <v/>
      </c>
      <c r="P272" s="8"/>
      <c r="Q272" s="8"/>
      <c r="R272" s="13">
        <f>IF(A272="","",IF(I272="Réalisé",H272,0))</f>
        <v/>
      </c>
      <c r="S272" s="9">
        <f>IF(A272="","",IF(COUNTIF($A$2:$A$301,A272)&gt;1,"DOUBLON RDV",IF(COUNTIF(Clients!$A$2:$A$51,C272)&lt;&gt;1,"Client à corriger",IF(COUNTIF(Services!$A$2:$A$4,E272)&lt;&gt;1,"Service à corriger",IF(OR(NOT(ISNUMBER(B272)),G272&lt;=0,H272&lt;0,COUNTIF(ListeStatuts,I272)&lt;&gt;1,COUNTIF(ListeFactures,P272)&lt;&gt;1),"Saisie à corriger",IF(AND(I272="Réalisé",OR(H272&lt;=0,B272&gt;Parametres!$B$7)),"Réalisation à vérifier",IF(AND(P272="Émise",OR(Q272="",I272&lt;&gt;"Réalisé")),"Facture à corriger",IF(AND(Q272&lt;&gt;"",COUNTIF($Q$2:$Q$301,Q272)&gt;1),"DOUBLON FACTURE",IF(AND(I272="Réalisé",ABS(G272-H272)&gt;0.001,T272=""),"Écart heures","OK")))))))))</f>
        <v/>
      </c>
      <c r="T272" s="8"/>
    </row>
    <row r="273" spans="1:20" ht="22" customHeight="1">
      <c r="A273" s="8"/>
      <c r="B273" s="6"/>
      <c r="C273" s="8"/>
      <c r="D273" s="9">
        <f>IF(C273="","",IFERROR(VLOOKUP(C273,Clients!$A$2:$M$51,12,FALSE),"CLIENT INCONNU"))</f>
        <v/>
      </c>
      <c r="E273" s="8"/>
      <c r="F273" s="9">
        <f>IF(E273="","",IFERROR(VLOOKUP(E273,Services!$A$2:$D$4,2,FALSE),"SERVICE INCONNU"))</f>
        <v/>
      </c>
      <c r="G273" s="8"/>
      <c r="H273" s="8"/>
      <c r="I273" s="8"/>
      <c r="J273" s="11">
        <f>IF(E273="","",IFERROR(VLOOKUP(E273,Services!$A$2:$D$4,3,FALSE),0))</f>
        <v/>
      </c>
      <c r="K273" s="9">
        <f>IF(C273="","",IFERROR(VLOOKUP(C273,Clients!$A$2:$M$51,11,FALSE),"Non"))</f>
        <v/>
      </c>
      <c r="L273" s="12">
        <f>IF(A273="","",IF(I273&lt;&gt;"Réalisé",0,IF(E273&lt;&gt;"Sexologie",0,IF(K273&lt;&gt;"Oui",0,IF(AND(B273&gt;=Parametres!$B$2,B273&lt;=Parametres!$B$3),Parametres!$B$5,0)))))</f>
        <v/>
      </c>
      <c r="M273" s="11">
        <f>IF(A273="","",IF(I273="Réalisé",ROUND(H273*J273,2),0))</f>
        <v/>
      </c>
      <c r="N273" s="11">
        <f>IF(A273="","",ROUND(M273*L273,2))</f>
        <v/>
      </c>
      <c r="O273" s="11">
        <f>IF(A273="","",ROUND(M273-N273,2))</f>
        <v/>
      </c>
      <c r="P273" s="8"/>
      <c r="Q273" s="8"/>
      <c r="R273" s="13">
        <f>IF(A273="","",IF(I273="Réalisé",H273,0))</f>
        <v/>
      </c>
      <c r="S273" s="9">
        <f>IF(A273="","",IF(COUNTIF($A$2:$A$301,A273)&gt;1,"DOUBLON RDV",IF(COUNTIF(Clients!$A$2:$A$51,C273)&lt;&gt;1,"Client à corriger",IF(COUNTIF(Services!$A$2:$A$4,E273)&lt;&gt;1,"Service à corriger",IF(OR(NOT(ISNUMBER(B273)),G273&lt;=0,H273&lt;0,COUNTIF(ListeStatuts,I273)&lt;&gt;1,COUNTIF(ListeFactures,P273)&lt;&gt;1),"Saisie à corriger",IF(AND(I273="Réalisé",OR(H273&lt;=0,B273&gt;Parametres!$B$7)),"Réalisation à vérifier",IF(AND(P273="Émise",OR(Q273="",I273&lt;&gt;"Réalisé")),"Facture à corriger",IF(AND(Q273&lt;&gt;"",COUNTIF($Q$2:$Q$301,Q273)&gt;1),"DOUBLON FACTURE",IF(AND(I273="Réalisé",ABS(G273-H273)&gt;0.001,T273=""),"Écart heures","OK")))))))))</f>
        <v/>
      </c>
      <c r="T273" s="8"/>
    </row>
    <row r="274" spans="1:20" ht="22" customHeight="1">
      <c r="A274" s="8"/>
      <c r="B274" s="6"/>
      <c r="C274" s="8"/>
      <c r="D274" s="9">
        <f>IF(C274="","",IFERROR(VLOOKUP(C274,Clients!$A$2:$M$51,12,FALSE),"CLIENT INCONNU"))</f>
        <v/>
      </c>
      <c r="E274" s="8"/>
      <c r="F274" s="9">
        <f>IF(E274="","",IFERROR(VLOOKUP(E274,Services!$A$2:$D$4,2,FALSE),"SERVICE INCONNU"))</f>
        <v/>
      </c>
      <c r="G274" s="8"/>
      <c r="H274" s="8"/>
      <c r="I274" s="8"/>
      <c r="J274" s="11">
        <f>IF(E274="","",IFERROR(VLOOKUP(E274,Services!$A$2:$D$4,3,FALSE),0))</f>
        <v/>
      </c>
      <c r="K274" s="9">
        <f>IF(C274="","",IFERROR(VLOOKUP(C274,Clients!$A$2:$M$51,11,FALSE),"Non"))</f>
        <v/>
      </c>
      <c r="L274" s="12">
        <f>IF(A274="","",IF(I274&lt;&gt;"Réalisé",0,IF(E274&lt;&gt;"Sexologie",0,IF(K274&lt;&gt;"Oui",0,IF(AND(B274&gt;=Parametres!$B$2,B274&lt;=Parametres!$B$3),Parametres!$B$5,0)))))</f>
        <v/>
      </c>
      <c r="M274" s="11">
        <f>IF(A274="","",IF(I274="Réalisé",ROUND(H274*J274,2),0))</f>
        <v/>
      </c>
      <c r="N274" s="11">
        <f>IF(A274="","",ROUND(M274*L274,2))</f>
        <v/>
      </c>
      <c r="O274" s="11">
        <f>IF(A274="","",ROUND(M274-N274,2))</f>
        <v/>
      </c>
      <c r="P274" s="8"/>
      <c r="Q274" s="8"/>
      <c r="R274" s="13">
        <f>IF(A274="","",IF(I274="Réalisé",H274,0))</f>
        <v/>
      </c>
      <c r="S274" s="9">
        <f>IF(A274="","",IF(COUNTIF($A$2:$A$301,A274)&gt;1,"DOUBLON RDV",IF(COUNTIF(Clients!$A$2:$A$51,C274)&lt;&gt;1,"Client à corriger",IF(COUNTIF(Services!$A$2:$A$4,E274)&lt;&gt;1,"Service à corriger",IF(OR(NOT(ISNUMBER(B274)),G274&lt;=0,H274&lt;0,COUNTIF(ListeStatuts,I274)&lt;&gt;1,COUNTIF(ListeFactures,P274)&lt;&gt;1),"Saisie à corriger",IF(AND(I274="Réalisé",OR(H274&lt;=0,B274&gt;Parametres!$B$7)),"Réalisation à vérifier",IF(AND(P274="Émise",OR(Q274="",I274&lt;&gt;"Réalisé")),"Facture à corriger",IF(AND(Q274&lt;&gt;"",COUNTIF($Q$2:$Q$301,Q274)&gt;1),"DOUBLON FACTURE",IF(AND(I274="Réalisé",ABS(G274-H274)&gt;0.001,T274=""),"Écart heures","OK")))))))))</f>
        <v/>
      </c>
      <c r="T274" s="8"/>
    </row>
    <row r="275" spans="1:20" ht="22" customHeight="1">
      <c r="A275" s="8"/>
      <c r="B275" s="6"/>
      <c r="C275" s="8"/>
      <c r="D275" s="9">
        <f>IF(C275="","",IFERROR(VLOOKUP(C275,Clients!$A$2:$M$51,12,FALSE),"CLIENT INCONNU"))</f>
        <v/>
      </c>
      <c r="E275" s="8"/>
      <c r="F275" s="9">
        <f>IF(E275="","",IFERROR(VLOOKUP(E275,Services!$A$2:$D$4,2,FALSE),"SERVICE INCONNU"))</f>
        <v/>
      </c>
      <c r="G275" s="8"/>
      <c r="H275" s="8"/>
      <c r="I275" s="8"/>
      <c r="J275" s="11">
        <f>IF(E275="","",IFERROR(VLOOKUP(E275,Services!$A$2:$D$4,3,FALSE),0))</f>
        <v/>
      </c>
      <c r="K275" s="9">
        <f>IF(C275="","",IFERROR(VLOOKUP(C275,Clients!$A$2:$M$51,11,FALSE),"Non"))</f>
        <v/>
      </c>
      <c r="L275" s="12">
        <f>IF(A275="","",IF(I275&lt;&gt;"Réalisé",0,IF(E275&lt;&gt;"Sexologie",0,IF(K275&lt;&gt;"Oui",0,IF(AND(B275&gt;=Parametres!$B$2,B275&lt;=Parametres!$B$3),Parametres!$B$5,0)))))</f>
        <v/>
      </c>
      <c r="M275" s="11">
        <f>IF(A275="","",IF(I275="Réalisé",ROUND(H275*J275,2),0))</f>
        <v/>
      </c>
      <c r="N275" s="11">
        <f>IF(A275="","",ROUND(M275*L275,2))</f>
        <v/>
      </c>
      <c r="O275" s="11">
        <f>IF(A275="","",ROUND(M275-N275,2))</f>
        <v/>
      </c>
      <c r="P275" s="8"/>
      <c r="Q275" s="8"/>
      <c r="R275" s="13">
        <f>IF(A275="","",IF(I275="Réalisé",H275,0))</f>
        <v/>
      </c>
      <c r="S275" s="9">
        <f>IF(A275="","",IF(COUNTIF($A$2:$A$301,A275)&gt;1,"DOUBLON RDV",IF(COUNTIF(Clients!$A$2:$A$51,C275)&lt;&gt;1,"Client à corriger",IF(COUNTIF(Services!$A$2:$A$4,E275)&lt;&gt;1,"Service à corriger",IF(OR(NOT(ISNUMBER(B275)),G275&lt;=0,H275&lt;0,COUNTIF(ListeStatuts,I275)&lt;&gt;1,COUNTIF(ListeFactures,P275)&lt;&gt;1),"Saisie à corriger",IF(AND(I275="Réalisé",OR(H275&lt;=0,B275&gt;Parametres!$B$7)),"Réalisation à vérifier",IF(AND(P275="Émise",OR(Q275="",I275&lt;&gt;"Réalisé")),"Facture à corriger",IF(AND(Q275&lt;&gt;"",COUNTIF($Q$2:$Q$301,Q275)&gt;1),"DOUBLON FACTURE",IF(AND(I275="Réalisé",ABS(G275-H275)&gt;0.001,T275=""),"Écart heures","OK")))))))))</f>
        <v/>
      </c>
      <c r="T275" s="8"/>
    </row>
    <row r="276" spans="1:20" ht="22" customHeight="1">
      <c r="A276" s="8"/>
      <c r="B276" s="6"/>
      <c r="C276" s="8"/>
      <c r="D276" s="9">
        <f>IF(C276="","",IFERROR(VLOOKUP(C276,Clients!$A$2:$M$51,12,FALSE),"CLIENT INCONNU"))</f>
        <v/>
      </c>
      <c r="E276" s="8"/>
      <c r="F276" s="9">
        <f>IF(E276="","",IFERROR(VLOOKUP(E276,Services!$A$2:$D$4,2,FALSE),"SERVICE INCONNU"))</f>
        <v/>
      </c>
      <c r="G276" s="8"/>
      <c r="H276" s="8"/>
      <c r="I276" s="8"/>
      <c r="J276" s="11">
        <f>IF(E276="","",IFERROR(VLOOKUP(E276,Services!$A$2:$D$4,3,FALSE),0))</f>
        <v/>
      </c>
      <c r="K276" s="9">
        <f>IF(C276="","",IFERROR(VLOOKUP(C276,Clients!$A$2:$M$51,11,FALSE),"Non"))</f>
        <v/>
      </c>
      <c r="L276" s="12">
        <f>IF(A276="","",IF(I276&lt;&gt;"Réalisé",0,IF(E276&lt;&gt;"Sexologie",0,IF(K276&lt;&gt;"Oui",0,IF(AND(B276&gt;=Parametres!$B$2,B276&lt;=Parametres!$B$3),Parametres!$B$5,0)))))</f>
        <v/>
      </c>
      <c r="M276" s="11">
        <f>IF(A276="","",IF(I276="Réalisé",ROUND(H276*J276,2),0))</f>
        <v/>
      </c>
      <c r="N276" s="11">
        <f>IF(A276="","",ROUND(M276*L276,2))</f>
        <v/>
      </c>
      <c r="O276" s="11">
        <f>IF(A276="","",ROUND(M276-N276,2))</f>
        <v/>
      </c>
      <c r="P276" s="8"/>
      <c r="Q276" s="8"/>
      <c r="R276" s="13">
        <f>IF(A276="","",IF(I276="Réalisé",H276,0))</f>
        <v/>
      </c>
      <c r="S276" s="9">
        <f>IF(A276="","",IF(COUNTIF($A$2:$A$301,A276)&gt;1,"DOUBLON RDV",IF(COUNTIF(Clients!$A$2:$A$51,C276)&lt;&gt;1,"Client à corriger",IF(COUNTIF(Services!$A$2:$A$4,E276)&lt;&gt;1,"Service à corriger",IF(OR(NOT(ISNUMBER(B276)),G276&lt;=0,H276&lt;0,COUNTIF(ListeStatuts,I276)&lt;&gt;1,COUNTIF(ListeFactures,P276)&lt;&gt;1),"Saisie à corriger",IF(AND(I276="Réalisé",OR(H276&lt;=0,B276&gt;Parametres!$B$7)),"Réalisation à vérifier",IF(AND(P276="Émise",OR(Q276="",I276&lt;&gt;"Réalisé")),"Facture à corriger",IF(AND(Q276&lt;&gt;"",COUNTIF($Q$2:$Q$301,Q276)&gt;1),"DOUBLON FACTURE",IF(AND(I276="Réalisé",ABS(G276-H276)&gt;0.001,T276=""),"Écart heures","OK")))))))))</f>
        <v/>
      </c>
      <c r="T276" s="8"/>
    </row>
    <row r="277" spans="1:20" ht="22" customHeight="1">
      <c r="A277" s="8"/>
      <c r="B277" s="6"/>
      <c r="C277" s="8"/>
      <c r="D277" s="9">
        <f>IF(C277="","",IFERROR(VLOOKUP(C277,Clients!$A$2:$M$51,12,FALSE),"CLIENT INCONNU"))</f>
        <v/>
      </c>
      <c r="E277" s="8"/>
      <c r="F277" s="9">
        <f>IF(E277="","",IFERROR(VLOOKUP(E277,Services!$A$2:$D$4,2,FALSE),"SERVICE INCONNU"))</f>
        <v/>
      </c>
      <c r="G277" s="8"/>
      <c r="H277" s="8"/>
      <c r="I277" s="8"/>
      <c r="J277" s="11">
        <f>IF(E277="","",IFERROR(VLOOKUP(E277,Services!$A$2:$D$4,3,FALSE),0))</f>
        <v/>
      </c>
      <c r="K277" s="9">
        <f>IF(C277="","",IFERROR(VLOOKUP(C277,Clients!$A$2:$M$51,11,FALSE),"Non"))</f>
        <v/>
      </c>
      <c r="L277" s="12">
        <f>IF(A277="","",IF(I277&lt;&gt;"Réalisé",0,IF(E277&lt;&gt;"Sexologie",0,IF(K277&lt;&gt;"Oui",0,IF(AND(B277&gt;=Parametres!$B$2,B277&lt;=Parametres!$B$3),Parametres!$B$5,0)))))</f>
        <v/>
      </c>
      <c r="M277" s="11">
        <f>IF(A277="","",IF(I277="Réalisé",ROUND(H277*J277,2),0))</f>
        <v/>
      </c>
      <c r="N277" s="11">
        <f>IF(A277="","",ROUND(M277*L277,2))</f>
        <v/>
      </c>
      <c r="O277" s="11">
        <f>IF(A277="","",ROUND(M277-N277,2))</f>
        <v/>
      </c>
      <c r="P277" s="8"/>
      <c r="Q277" s="8"/>
      <c r="R277" s="13">
        <f>IF(A277="","",IF(I277="Réalisé",H277,0))</f>
        <v/>
      </c>
      <c r="S277" s="9">
        <f>IF(A277="","",IF(COUNTIF($A$2:$A$301,A277)&gt;1,"DOUBLON RDV",IF(COUNTIF(Clients!$A$2:$A$51,C277)&lt;&gt;1,"Client à corriger",IF(COUNTIF(Services!$A$2:$A$4,E277)&lt;&gt;1,"Service à corriger",IF(OR(NOT(ISNUMBER(B277)),G277&lt;=0,H277&lt;0,COUNTIF(ListeStatuts,I277)&lt;&gt;1,COUNTIF(ListeFactures,P277)&lt;&gt;1),"Saisie à corriger",IF(AND(I277="Réalisé",OR(H277&lt;=0,B277&gt;Parametres!$B$7)),"Réalisation à vérifier",IF(AND(P277="Émise",OR(Q277="",I277&lt;&gt;"Réalisé")),"Facture à corriger",IF(AND(Q277&lt;&gt;"",COUNTIF($Q$2:$Q$301,Q277)&gt;1),"DOUBLON FACTURE",IF(AND(I277="Réalisé",ABS(G277-H277)&gt;0.001,T277=""),"Écart heures","OK")))))))))</f>
        <v/>
      </c>
      <c r="T277" s="8"/>
    </row>
    <row r="278" spans="1:20" ht="22" customHeight="1">
      <c r="A278" s="8"/>
      <c r="B278" s="6"/>
      <c r="C278" s="8"/>
      <c r="D278" s="9">
        <f>IF(C278="","",IFERROR(VLOOKUP(C278,Clients!$A$2:$M$51,12,FALSE),"CLIENT INCONNU"))</f>
        <v/>
      </c>
      <c r="E278" s="8"/>
      <c r="F278" s="9">
        <f>IF(E278="","",IFERROR(VLOOKUP(E278,Services!$A$2:$D$4,2,FALSE),"SERVICE INCONNU"))</f>
        <v/>
      </c>
      <c r="G278" s="8"/>
      <c r="H278" s="8"/>
      <c r="I278" s="8"/>
      <c r="J278" s="11">
        <f>IF(E278="","",IFERROR(VLOOKUP(E278,Services!$A$2:$D$4,3,FALSE),0))</f>
        <v/>
      </c>
      <c r="K278" s="9">
        <f>IF(C278="","",IFERROR(VLOOKUP(C278,Clients!$A$2:$M$51,11,FALSE),"Non"))</f>
        <v/>
      </c>
      <c r="L278" s="12">
        <f>IF(A278="","",IF(I278&lt;&gt;"Réalisé",0,IF(E278&lt;&gt;"Sexologie",0,IF(K278&lt;&gt;"Oui",0,IF(AND(B278&gt;=Parametres!$B$2,B278&lt;=Parametres!$B$3),Parametres!$B$5,0)))))</f>
        <v/>
      </c>
      <c r="M278" s="11">
        <f>IF(A278="","",IF(I278="Réalisé",ROUND(H278*J278,2),0))</f>
        <v/>
      </c>
      <c r="N278" s="11">
        <f>IF(A278="","",ROUND(M278*L278,2))</f>
        <v/>
      </c>
      <c r="O278" s="11">
        <f>IF(A278="","",ROUND(M278-N278,2))</f>
        <v/>
      </c>
      <c r="P278" s="8"/>
      <c r="Q278" s="8"/>
      <c r="R278" s="13">
        <f>IF(A278="","",IF(I278="Réalisé",H278,0))</f>
        <v/>
      </c>
      <c r="S278" s="9">
        <f>IF(A278="","",IF(COUNTIF($A$2:$A$301,A278)&gt;1,"DOUBLON RDV",IF(COUNTIF(Clients!$A$2:$A$51,C278)&lt;&gt;1,"Client à corriger",IF(COUNTIF(Services!$A$2:$A$4,E278)&lt;&gt;1,"Service à corriger",IF(OR(NOT(ISNUMBER(B278)),G278&lt;=0,H278&lt;0,COUNTIF(ListeStatuts,I278)&lt;&gt;1,COUNTIF(ListeFactures,P278)&lt;&gt;1),"Saisie à corriger",IF(AND(I278="Réalisé",OR(H278&lt;=0,B278&gt;Parametres!$B$7)),"Réalisation à vérifier",IF(AND(P278="Émise",OR(Q278="",I278&lt;&gt;"Réalisé")),"Facture à corriger",IF(AND(Q278&lt;&gt;"",COUNTIF($Q$2:$Q$301,Q278)&gt;1),"DOUBLON FACTURE",IF(AND(I278="Réalisé",ABS(G278-H278)&gt;0.001,T278=""),"Écart heures","OK")))))))))</f>
        <v/>
      </c>
      <c r="T278" s="8"/>
    </row>
    <row r="279" spans="1:20" ht="22" customHeight="1">
      <c r="A279" s="8"/>
      <c r="B279" s="6"/>
      <c r="C279" s="8"/>
      <c r="D279" s="9">
        <f>IF(C279="","",IFERROR(VLOOKUP(C279,Clients!$A$2:$M$51,12,FALSE),"CLIENT INCONNU"))</f>
        <v/>
      </c>
      <c r="E279" s="8"/>
      <c r="F279" s="9">
        <f>IF(E279="","",IFERROR(VLOOKUP(E279,Services!$A$2:$D$4,2,FALSE),"SERVICE INCONNU"))</f>
        <v/>
      </c>
      <c r="G279" s="8"/>
      <c r="H279" s="8"/>
      <c r="I279" s="8"/>
      <c r="J279" s="11">
        <f>IF(E279="","",IFERROR(VLOOKUP(E279,Services!$A$2:$D$4,3,FALSE),0))</f>
        <v/>
      </c>
      <c r="K279" s="9">
        <f>IF(C279="","",IFERROR(VLOOKUP(C279,Clients!$A$2:$M$51,11,FALSE),"Non"))</f>
        <v/>
      </c>
      <c r="L279" s="12">
        <f>IF(A279="","",IF(I279&lt;&gt;"Réalisé",0,IF(E279&lt;&gt;"Sexologie",0,IF(K279&lt;&gt;"Oui",0,IF(AND(B279&gt;=Parametres!$B$2,B279&lt;=Parametres!$B$3),Parametres!$B$5,0)))))</f>
        <v/>
      </c>
      <c r="M279" s="11">
        <f>IF(A279="","",IF(I279="Réalisé",ROUND(H279*J279,2),0))</f>
        <v/>
      </c>
      <c r="N279" s="11">
        <f>IF(A279="","",ROUND(M279*L279,2))</f>
        <v/>
      </c>
      <c r="O279" s="11">
        <f>IF(A279="","",ROUND(M279-N279,2))</f>
        <v/>
      </c>
      <c r="P279" s="8"/>
      <c r="Q279" s="8"/>
      <c r="R279" s="13">
        <f>IF(A279="","",IF(I279="Réalisé",H279,0))</f>
        <v/>
      </c>
      <c r="S279" s="9">
        <f>IF(A279="","",IF(COUNTIF($A$2:$A$301,A279)&gt;1,"DOUBLON RDV",IF(COUNTIF(Clients!$A$2:$A$51,C279)&lt;&gt;1,"Client à corriger",IF(COUNTIF(Services!$A$2:$A$4,E279)&lt;&gt;1,"Service à corriger",IF(OR(NOT(ISNUMBER(B279)),G279&lt;=0,H279&lt;0,COUNTIF(ListeStatuts,I279)&lt;&gt;1,COUNTIF(ListeFactures,P279)&lt;&gt;1),"Saisie à corriger",IF(AND(I279="Réalisé",OR(H279&lt;=0,B279&gt;Parametres!$B$7)),"Réalisation à vérifier",IF(AND(P279="Émise",OR(Q279="",I279&lt;&gt;"Réalisé")),"Facture à corriger",IF(AND(Q279&lt;&gt;"",COUNTIF($Q$2:$Q$301,Q279)&gt;1),"DOUBLON FACTURE",IF(AND(I279="Réalisé",ABS(G279-H279)&gt;0.001,T279=""),"Écart heures","OK")))))))))</f>
        <v/>
      </c>
      <c r="T279" s="8"/>
    </row>
    <row r="280" spans="1:20" ht="22" customHeight="1">
      <c r="A280" s="8"/>
      <c r="B280" s="6"/>
      <c r="C280" s="8"/>
      <c r="D280" s="9">
        <f>IF(C280="","",IFERROR(VLOOKUP(C280,Clients!$A$2:$M$51,12,FALSE),"CLIENT INCONNU"))</f>
        <v/>
      </c>
      <c r="E280" s="8"/>
      <c r="F280" s="9">
        <f>IF(E280="","",IFERROR(VLOOKUP(E280,Services!$A$2:$D$4,2,FALSE),"SERVICE INCONNU"))</f>
        <v/>
      </c>
      <c r="G280" s="8"/>
      <c r="H280" s="8"/>
      <c r="I280" s="8"/>
      <c r="J280" s="11">
        <f>IF(E280="","",IFERROR(VLOOKUP(E280,Services!$A$2:$D$4,3,FALSE),0))</f>
        <v/>
      </c>
      <c r="K280" s="9">
        <f>IF(C280="","",IFERROR(VLOOKUP(C280,Clients!$A$2:$M$51,11,FALSE),"Non"))</f>
        <v/>
      </c>
      <c r="L280" s="12">
        <f>IF(A280="","",IF(I280&lt;&gt;"Réalisé",0,IF(E280&lt;&gt;"Sexologie",0,IF(K280&lt;&gt;"Oui",0,IF(AND(B280&gt;=Parametres!$B$2,B280&lt;=Parametres!$B$3),Parametres!$B$5,0)))))</f>
        <v/>
      </c>
      <c r="M280" s="11">
        <f>IF(A280="","",IF(I280="Réalisé",ROUND(H280*J280,2),0))</f>
        <v/>
      </c>
      <c r="N280" s="11">
        <f>IF(A280="","",ROUND(M280*L280,2))</f>
        <v/>
      </c>
      <c r="O280" s="11">
        <f>IF(A280="","",ROUND(M280-N280,2))</f>
        <v/>
      </c>
      <c r="P280" s="8"/>
      <c r="Q280" s="8"/>
      <c r="R280" s="13">
        <f>IF(A280="","",IF(I280="Réalisé",H280,0))</f>
        <v/>
      </c>
      <c r="S280" s="9">
        <f>IF(A280="","",IF(COUNTIF($A$2:$A$301,A280)&gt;1,"DOUBLON RDV",IF(COUNTIF(Clients!$A$2:$A$51,C280)&lt;&gt;1,"Client à corriger",IF(COUNTIF(Services!$A$2:$A$4,E280)&lt;&gt;1,"Service à corriger",IF(OR(NOT(ISNUMBER(B280)),G280&lt;=0,H280&lt;0,COUNTIF(ListeStatuts,I280)&lt;&gt;1,COUNTIF(ListeFactures,P280)&lt;&gt;1),"Saisie à corriger",IF(AND(I280="Réalisé",OR(H280&lt;=0,B280&gt;Parametres!$B$7)),"Réalisation à vérifier",IF(AND(P280="Émise",OR(Q280="",I280&lt;&gt;"Réalisé")),"Facture à corriger",IF(AND(Q280&lt;&gt;"",COUNTIF($Q$2:$Q$301,Q280)&gt;1),"DOUBLON FACTURE",IF(AND(I280="Réalisé",ABS(G280-H280)&gt;0.001,T280=""),"Écart heures","OK")))))))))</f>
        <v/>
      </c>
      <c r="T280" s="8"/>
    </row>
    <row r="281" spans="1:20" ht="22" customHeight="1">
      <c r="A281" s="8"/>
      <c r="B281" s="6"/>
      <c r="C281" s="8"/>
      <c r="D281" s="9">
        <f>IF(C281="","",IFERROR(VLOOKUP(C281,Clients!$A$2:$M$51,12,FALSE),"CLIENT INCONNU"))</f>
        <v/>
      </c>
      <c r="E281" s="8"/>
      <c r="F281" s="9">
        <f>IF(E281="","",IFERROR(VLOOKUP(E281,Services!$A$2:$D$4,2,FALSE),"SERVICE INCONNU"))</f>
        <v/>
      </c>
      <c r="G281" s="8"/>
      <c r="H281" s="8"/>
      <c r="I281" s="8"/>
      <c r="J281" s="11">
        <f>IF(E281="","",IFERROR(VLOOKUP(E281,Services!$A$2:$D$4,3,FALSE),0))</f>
        <v/>
      </c>
      <c r="K281" s="9">
        <f>IF(C281="","",IFERROR(VLOOKUP(C281,Clients!$A$2:$M$51,11,FALSE),"Non"))</f>
        <v/>
      </c>
      <c r="L281" s="12">
        <f>IF(A281="","",IF(I281&lt;&gt;"Réalisé",0,IF(E281&lt;&gt;"Sexologie",0,IF(K281&lt;&gt;"Oui",0,IF(AND(B281&gt;=Parametres!$B$2,B281&lt;=Parametres!$B$3),Parametres!$B$5,0)))))</f>
        <v/>
      </c>
      <c r="M281" s="11">
        <f>IF(A281="","",IF(I281="Réalisé",ROUND(H281*J281,2),0))</f>
        <v/>
      </c>
      <c r="N281" s="11">
        <f>IF(A281="","",ROUND(M281*L281,2))</f>
        <v/>
      </c>
      <c r="O281" s="11">
        <f>IF(A281="","",ROUND(M281-N281,2))</f>
        <v/>
      </c>
      <c r="P281" s="8"/>
      <c r="Q281" s="8"/>
      <c r="R281" s="13">
        <f>IF(A281="","",IF(I281="Réalisé",H281,0))</f>
        <v/>
      </c>
      <c r="S281" s="9">
        <f>IF(A281="","",IF(COUNTIF($A$2:$A$301,A281)&gt;1,"DOUBLON RDV",IF(COUNTIF(Clients!$A$2:$A$51,C281)&lt;&gt;1,"Client à corriger",IF(COUNTIF(Services!$A$2:$A$4,E281)&lt;&gt;1,"Service à corriger",IF(OR(NOT(ISNUMBER(B281)),G281&lt;=0,H281&lt;0,COUNTIF(ListeStatuts,I281)&lt;&gt;1,COUNTIF(ListeFactures,P281)&lt;&gt;1),"Saisie à corriger",IF(AND(I281="Réalisé",OR(H281&lt;=0,B281&gt;Parametres!$B$7)),"Réalisation à vérifier",IF(AND(P281="Émise",OR(Q281="",I281&lt;&gt;"Réalisé")),"Facture à corriger",IF(AND(Q281&lt;&gt;"",COUNTIF($Q$2:$Q$301,Q281)&gt;1),"DOUBLON FACTURE",IF(AND(I281="Réalisé",ABS(G281-H281)&gt;0.001,T281=""),"Écart heures","OK")))))))))</f>
        <v/>
      </c>
      <c r="T281" s="8"/>
    </row>
    <row r="282" spans="1:20" ht="22" customHeight="1">
      <c r="A282" s="8"/>
      <c r="B282" s="6"/>
      <c r="C282" s="8"/>
      <c r="D282" s="9">
        <f>IF(C282="","",IFERROR(VLOOKUP(C282,Clients!$A$2:$M$51,12,FALSE),"CLIENT INCONNU"))</f>
        <v/>
      </c>
      <c r="E282" s="8"/>
      <c r="F282" s="9">
        <f>IF(E282="","",IFERROR(VLOOKUP(E282,Services!$A$2:$D$4,2,FALSE),"SERVICE INCONNU"))</f>
        <v/>
      </c>
      <c r="G282" s="8"/>
      <c r="H282" s="8"/>
      <c r="I282" s="8"/>
      <c r="J282" s="11">
        <f>IF(E282="","",IFERROR(VLOOKUP(E282,Services!$A$2:$D$4,3,FALSE),0))</f>
        <v/>
      </c>
      <c r="K282" s="9">
        <f>IF(C282="","",IFERROR(VLOOKUP(C282,Clients!$A$2:$M$51,11,FALSE),"Non"))</f>
        <v/>
      </c>
      <c r="L282" s="12">
        <f>IF(A282="","",IF(I282&lt;&gt;"Réalisé",0,IF(E282&lt;&gt;"Sexologie",0,IF(K282&lt;&gt;"Oui",0,IF(AND(B282&gt;=Parametres!$B$2,B282&lt;=Parametres!$B$3),Parametres!$B$5,0)))))</f>
        <v/>
      </c>
      <c r="M282" s="11">
        <f>IF(A282="","",IF(I282="Réalisé",ROUND(H282*J282,2),0))</f>
        <v/>
      </c>
      <c r="N282" s="11">
        <f>IF(A282="","",ROUND(M282*L282,2))</f>
        <v/>
      </c>
      <c r="O282" s="11">
        <f>IF(A282="","",ROUND(M282-N282,2))</f>
        <v/>
      </c>
      <c r="P282" s="8"/>
      <c r="Q282" s="8"/>
      <c r="R282" s="13">
        <f>IF(A282="","",IF(I282="Réalisé",H282,0))</f>
        <v/>
      </c>
      <c r="S282" s="9">
        <f>IF(A282="","",IF(COUNTIF($A$2:$A$301,A282)&gt;1,"DOUBLON RDV",IF(COUNTIF(Clients!$A$2:$A$51,C282)&lt;&gt;1,"Client à corriger",IF(COUNTIF(Services!$A$2:$A$4,E282)&lt;&gt;1,"Service à corriger",IF(OR(NOT(ISNUMBER(B282)),G282&lt;=0,H282&lt;0,COUNTIF(ListeStatuts,I282)&lt;&gt;1,COUNTIF(ListeFactures,P282)&lt;&gt;1),"Saisie à corriger",IF(AND(I282="Réalisé",OR(H282&lt;=0,B282&gt;Parametres!$B$7)),"Réalisation à vérifier",IF(AND(P282="Émise",OR(Q282="",I282&lt;&gt;"Réalisé")),"Facture à corriger",IF(AND(Q282&lt;&gt;"",COUNTIF($Q$2:$Q$301,Q282)&gt;1),"DOUBLON FACTURE",IF(AND(I282="Réalisé",ABS(G282-H282)&gt;0.001,T282=""),"Écart heures","OK")))))))))</f>
        <v/>
      </c>
      <c r="T282" s="8"/>
    </row>
    <row r="283" spans="1:20" ht="22" customHeight="1">
      <c r="A283" s="8"/>
      <c r="B283" s="6"/>
      <c r="C283" s="8"/>
      <c r="D283" s="9">
        <f>IF(C283="","",IFERROR(VLOOKUP(C283,Clients!$A$2:$M$51,12,FALSE),"CLIENT INCONNU"))</f>
        <v/>
      </c>
      <c r="E283" s="8"/>
      <c r="F283" s="9">
        <f>IF(E283="","",IFERROR(VLOOKUP(E283,Services!$A$2:$D$4,2,FALSE),"SERVICE INCONNU"))</f>
        <v/>
      </c>
      <c r="G283" s="8"/>
      <c r="H283" s="8"/>
      <c r="I283" s="8"/>
      <c r="J283" s="11">
        <f>IF(E283="","",IFERROR(VLOOKUP(E283,Services!$A$2:$D$4,3,FALSE),0))</f>
        <v/>
      </c>
      <c r="K283" s="9">
        <f>IF(C283="","",IFERROR(VLOOKUP(C283,Clients!$A$2:$M$51,11,FALSE),"Non"))</f>
        <v/>
      </c>
      <c r="L283" s="12">
        <f>IF(A283="","",IF(I283&lt;&gt;"Réalisé",0,IF(E283&lt;&gt;"Sexologie",0,IF(K283&lt;&gt;"Oui",0,IF(AND(B283&gt;=Parametres!$B$2,B283&lt;=Parametres!$B$3),Parametres!$B$5,0)))))</f>
        <v/>
      </c>
      <c r="M283" s="11">
        <f>IF(A283="","",IF(I283="Réalisé",ROUND(H283*J283,2),0))</f>
        <v/>
      </c>
      <c r="N283" s="11">
        <f>IF(A283="","",ROUND(M283*L283,2))</f>
        <v/>
      </c>
      <c r="O283" s="11">
        <f>IF(A283="","",ROUND(M283-N283,2))</f>
        <v/>
      </c>
      <c r="P283" s="8"/>
      <c r="Q283" s="8"/>
      <c r="R283" s="13">
        <f>IF(A283="","",IF(I283="Réalisé",H283,0))</f>
        <v/>
      </c>
      <c r="S283" s="9">
        <f>IF(A283="","",IF(COUNTIF($A$2:$A$301,A283)&gt;1,"DOUBLON RDV",IF(COUNTIF(Clients!$A$2:$A$51,C283)&lt;&gt;1,"Client à corriger",IF(COUNTIF(Services!$A$2:$A$4,E283)&lt;&gt;1,"Service à corriger",IF(OR(NOT(ISNUMBER(B283)),G283&lt;=0,H283&lt;0,COUNTIF(ListeStatuts,I283)&lt;&gt;1,COUNTIF(ListeFactures,P283)&lt;&gt;1),"Saisie à corriger",IF(AND(I283="Réalisé",OR(H283&lt;=0,B283&gt;Parametres!$B$7)),"Réalisation à vérifier",IF(AND(P283="Émise",OR(Q283="",I283&lt;&gt;"Réalisé")),"Facture à corriger",IF(AND(Q283&lt;&gt;"",COUNTIF($Q$2:$Q$301,Q283)&gt;1),"DOUBLON FACTURE",IF(AND(I283="Réalisé",ABS(G283-H283)&gt;0.001,T283=""),"Écart heures","OK")))))))))</f>
        <v/>
      </c>
      <c r="T283" s="8"/>
    </row>
    <row r="284" spans="1:20" ht="22" customHeight="1">
      <c r="A284" s="8"/>
      <c r="B284" s="6"/>
      <c r="C284" s="8"/>
      <c r="D284" s="9">
        <f>IF(C284="","",IFERROR(VLOOKUP(C284,Clients!$A$2:$M$51,12,FALSE),"CLIENT INCONNU"))</f>
        <v/>
      </c>
      <c r="E284" s="8"/>
      <c r="F284" s="9">
        <f>IF(E284="","",IFERROR(VLOOKUP(E284,Services!$A$2:$D$4,2,FALSE),"SERVICE INCONNU"))</f>
        <v/>
      </c>
      <c r="G284" s="8"/>
      <c r="H284" s="8"/>
      <c r="I284" s="8"/>
      <c r="J284" s="11">
        <f>IF(E284="","",IFERROR(VLOOKUP(E284,Services!$A$2:$D$4,3,FALSE),0))</f>
        <v/>
      </c>
      <c r="K284" s="9">
        <f>IF(C284="","",IFERROR(VLOOKUP(C284,Clients!$A$2:$M$51,11,FALSE),"Non"))</f>
        <v/>
      </c>
      <c r="L284" s="12">
        <f>IF(A284="","",IF(I284&lt;&gt;"Réalisé",0,IF(E284&lt;&gt;"Sexologie",0,IF(K284&lt;&gt;"Oui",0,IF(AND(B284&gt;=Parametres!$B$2,B284&lt;=Parametres!$B$3),Parametres!$B$5,0)))))</f>
        <v/>
      </c>
      <c r="M284" s="11">
        <f>IF(A284="","",IF(I284="Réalisé",ROUND(H284*J284,2),0))</f>
        <v/>
      </c>
      <c r="N284" s="11">
        <f>IF(A284="","",ROUND(M284*L284,2))</f>
        <v/>
      </c>
      <c r="O284" s="11">
        <f>IF(A284="","",ROUND(M284-N284,2))</f>
        <v/>
      </c>
      <c r="P284" s="8"/>
      <c r="Q284" s="8"/>
      <c r="R284" s="13">
        <f>IF(A284="","",IF(I284="Réalisé",H284,0))</f>
        <v/>
      </c>
      <c r="S284" s="9">
        <f>IF(A284="","",IF(COUNTIF($A$2:$A$301,A284)&gt;1,"DOUBLON RDV",IF(COUNTIF(Clients!$A$2:$A$51,C284)&lt;&gt;1,"Client à corriger",IF(COUNTIF(Services!$A$2:$A$4,E284)&lt;&gt;1,"Service à corriger",IF(OR(NOT(ISNUMBER(B284)),G284&lt;=0,H284&lt;0,COUNTIF(ListeStatuts,I284)&lt;&gt;1,COUNTIF(ListeFactures,P284)&lt;&gt;1),"Saisie à corriger",IF(AND(I284="Réalisé",OR(H284&lt;=0,B284&gt;Parametres!$B$7)),"Réalisation à vérifier",IF(AND(P284="Émise",OR(Q284="",I284&lt;&gt;"Réalisé")),"Facture à corriger",IF(AND(Q284&lt;&gt;"",COUNTIF($Q$2:$Q$301,Q284)&gt;1),"DOUBLON FACTURE",IF(AND(I284="Réalisé",ABS(G284-H284)&gt;0.001,T284=""),"Écart heures","OK")))))))))</f>
        <v/>
      </c>
      <c r="T284" s="8"/>
    </row>
    <row r="285" spans="1:20" ht="22" customHeight="1">
      <c r="A285" s="8"/>
      <c r="B285" s="6"/>
      <c r="C285" s="8"/>
      <c r="D285" s="9">
        <f>IF(C285="","",IFERROR(VLOOKUP(C285,Clients!$A$2:$M$51,12,FALSE),"CLIENT INCONNU"))</f>
        <v/>
      </c>
      <c r="E285" s="8"/>
      <c r="F285" s="9">
        <f>IF(E285="","",IFERROR(VLOOKUP(E285,Services!$A$2:$D$4,2,FALSE),"SERVICE INCONNU"))</f>
        <v/>
      </c>
      <c r="G285" s="8"/>
      <c r="H285" s="8"/>
      <c r="I285" s="8"/>
      <c r="J285" s="11">
        <f>IF(E285="","",IFERROR(VLOOKUP(E285,Services!$A$2:$D$4,3,FALSE),0))</f>
        <v/>
      </c>
      <c r="K285" s="9">
        <f>IF(C285="","",IFERROR(VLOOKUP(C285,Clients!$A$2:$M$51,11,FALSE),"Non"))</f>
        <v/>
      </c>
      <c r="L285" s="12">
        <f>IF(A285="","",IF(I285&lt;&gt;"Réalisé",0,IF(E285&lt;&gt;"Sexologie",0,IF(K285&lt;&gt;"Oui",0,IF(AND(B285&gt;=Parametres!$B$2,B285&lt;=Parametres!$B$3),Parametres!$B$5,0)))))</f>
        <v/>
      </c>
      <c r="M285" s="11">
        <f>IF(A285="","",IF(I285="Réalisé",ROUND(H285*J285,2),0))</f>
        <v/>
      </c>
      <c r="N285" s="11">
        <f>IF(A285="","",ROUND(M285*L285,2))</f>
        <v/>
      </c>
      <c r="O285" s="11">
        <f>IF(A285="","",ROUND(M285-N285,2))</f>
        <v/>
      </c>
      <c r="P285" s="8"/>
      <c r="Q285" s="8"/>
      <c r="R285" s="13">
        <f>IF(A285="","",IF(I285="Réalisé",H285,0))</f>
        <v/>
      </c>
      <c r="S285" s="9">
        <f>IF(A285="","",IF(COUNTIF($A$2:$A$301,A285)&gt;1,"DOUBLON RDV",IF(COUNTIF(Clients!$A$2:$A$51,C285)&lt;&gt;1,"Client à corriger",IF(COUNTIF(Services!$A$2:$A$4,E285)&lt;&gt;1,"Service à corriger",IF(OR(NOT(ISNUMBER(B285)),G285&lt;=0,H285&lt;0,COUNTIF(ListeStatuts,I285)&lt;&gt;1,COUNTIF(ListeFactures,P285)&lt;&gt;1),"Saisie à corriger",IF(AND(I285="Réalisé",OR(H285&lt;=0,B285&gt;Parametres!$B$7)),"Réalisation à vérifier",IF(AND(P285="Émise",OR(Q285="",I285&lt;&gt;"Réalisé")),"Facture à corriger",IF(AND(Q285&lt;&gt;"",COUNTIF($Q$2:$Q$301,Q285)&gt;1),"DOUBLON FACTURE",IF(AND(I285="Réalisé",ABS(G285-H285)&gt;0.001,T285=""),"Écart heures","OK")))))))))</f>
        <v/>
      </c>
      <c r="T285" s="8"/>
    </row>
    <row r="286" spans="1:20" ht="22" customHeight="1">
      <c r="A286" s="8"/>
      <c r="B286" s="6"/>
      <c r="C286" s="8"/>
      <c r="D286" s="9">
        <f>IF(C286="","",IFERROR(VLOOKUP(C286,Clients!$A$2:$M$51,12,FALSE),"CLIENT INCONNU"))</f>
        <v/>
      </c>
      <c r="E286" s="8"/>
      <c r="F286" s="9">
        <f>IF(E286="","",IFERROR(VLOOKUP(E286,Services!$A$2:$D$4,2,FALSE),"SERVICE INCONNU"))</f>
        <v/>
      </c>
      <c r="G286" s="8"/>
      <c r="H286" s="8"/>
      <c r="I286" s="8"/>
      <c r="J286" s="11">
        <f>IF(E286="","",IFERROR(VLOOKUP(E286,Services!$A$2:$D$4,3,FALSE),0))</f>
        <v/>
      </c>
      <c r="K286" s="9">
        <f>IF(C286="","",IFERROR(VLOOKUP(C286,Clients!$A$2:$M$51,11,FALSE),"Non"))</f>
        <v/>
      </c>
      <c r="L286" s="12">
        <f>IF(A286="","",IF(I286&lt;&gt;"Réalisé",0,IF(E286&lt;&gt;"Sexologie",0,IF(K286&lt;&gt;"Oui",0,IF(AND(B286&gt;=Parametres!$B$2,B286&lt;=Parametres!$B$3),Parametres!$B$5,0)))))</f>
        <v/>
      </c>
      <c r="M286" s="11">
        <f>IF(A286="","",IF(I286="Réalisé",ROUND(H286*J286,2),0))</f>
        <v/>
      </c>
      <c r="N286" s="11">
        <f>IF(A286="","",ROUND(M286*L286,2))</f>
        <v/>
      </c>
      <c r="O286" s="11">
        <f>IF(A286="","",ROUND(M286-N286,2))</f>
        <v/>
      </c>
      <c r="P286" s="8"/>
      <c r="Q286" s="8"/>
      <c r="R286" s="13">
        <f>IF(A286="","",IF(I286="Réalisé",H286,0))</f>
        <v/>
      </c>
      <c r="S286" s="9">
        <f>IF(A286="","",IF(COUNTIF($A$2:$A$301,A286)&gt;1,"DOUBLON RDV",IF(COUNTIF(Clients!$A$2:$A$51,C286)&lt;&gt;1,"Client à corriger",IF(COUNTIF(Services!$A$2:$A$4,E286)&lt;&gt;1,"Service à corriger",IF(OR(NOT(ISNUMBER(B286)),G286&lt;=0,H286&lt;0,COUNTIF(ListeStatuts,I286)&lt;&gt;1,COUNTIF(ListeFactures,P286)&lt;&gt;1),"Saisie à corriger",IF(AND(I286="Réalisé",OR(H286&lt;=0,B286&gt;Parametres!$B$7)),"Réalisation à vérifier",IF(AND(P286="Émise",OR(Q286="",I286&lt;&gt;"Réalisé")),"Facture à corriger",IF(AND(Q286&lt;&gt;"",COUNTIF($Q$2:$Q$301,Q286)&gt;1),"DOUBLON FACTURE",IF(AND(I286="Réalisé",ABS(G286-H286)&gt;0.001,T286=""),"Écart heures","OK")))))))))</f>
        <v/>
      </c>
      <c r="T286" s="8"/>
    </row>
    <row r="287" spans="1:20" ht="22" customHeight="1">
      <c r="A287" s="8"/>
      <c r="B287" s="6"/>
      <c r="C287" s="8"/>
      <c r="D287" s="9">
        <f>IF(C287="","",IFERROR(VLOOKUP(C287,Clients!$A$2:$M$51,12,FALSE),"CLIENT INCONNU"))</f>
        <v/>
      </c>
      <c r="E287" s="8"/>
      <c r="F287" s="9">
        <f>IF(E287="","",IFERROR(VLOOKUP(E287,Services!$A$2:$D$4,2,FALSE),"SERVICE INCONNU"))</f>
        <v/>
      </c>
      <c r="G287" s="8"/>
      <c r="H287" s="8"/>
      <c r="I287" s="8"/>
      <c r="J287" s="11">
        <f>IF(E287="","",IFERROR(VLOOKUP(E287,Services!$A$2:$D$4,3,FALSE),0))</f>
        <v/>
      </c>
      <c r="K287" s="9">
        <f>IF(C287="","",IFERROR(VLOOKUP(C287,Clients!$A$2:$M$51,11,FALSE),"Non"))</f>
        <v/>
      </c>
      <c r="L287" s="12">
        <f>IF(A287="","",IF(I287&lt;&gt;"Réalisé",0,IF(E287&lt;&gt;"Sexologie",0,IF(K287&lt;&gt;"Oui",0,IF(AND(B287&gt;=Parametres!$B$2,B287&lt;=Parametres!$B$3),Parametres!$B$5,0)))))</f>
        <v/>
      </c>
      <c r="M287" s="11">
        <f>IF(A287="","",IF(I287="Réalisé",ROUND(H287*J287,2),0))</f>
        <v/>
      </c>
      <c r="N287" s="11">
        <f>IF(A287="","",ROUND(M287*L287,2))</f>
        <v/>
      </c>
      <c r="O287" s="11">
        <f>IF(A287="","",ROUND(M287-N287,2))</f>
        <v/>
      </c>
      <c r="P287" s="8"/>
      <c r="Q287" s="8"/>
      <c r="R287" s="13">
        <f>IF(A287="","",IF(I287="Réalisé",H287,0))</f>
        <v/>
      </c>
      <c r="S287" s="9">
        <f>IF(A287="","",IF(COUNTIF($A$2:$A$301,A287)&gt;1,"DOUBLON RDV",IF(COUNTIF(Clients!$A$2:$A$51,C287)&lt;&gt;1,"Client à corriger",IF(COUNTIF(Services!$A$2:$A$4,E287)&lt;&gt;1,"Service à corriger",IF(OR(NOT(ISNUMBER(B287)),G287&lt;=0,H287&lt;0,COUNTIF(ListeStatuts,I287)&lt;&gt;1,COUNTIF(ListeFactures,P287)&lt;&gt;1),"Saisie à corriger",IF(AND(I287="Réalisé",OR(H287&lt;=0,B287&gt;Parametres!$B$7)),"Réalisation à vérifier",IF(AND(P287="Émise",OR(Q287="",I287&lt;&gt;"Réalisé")),"Facture à corriger",IF(AND(Q287&lt;&gt;"",COUNTIF($Q$2:$Q$301,Q287)&gt;1),"DOUBLON FACTURE",IF(AND(I287="Réalisé",ABS(G287-H287)&gt;0.001,T287=""),"Écart heures","OK")))))))))</f>
        <v/>
      </c>
      <c r="T287" s="8"/>
    </row>
    <row r="288" spans="1:20" ht="22" customHeight="1">
      <c r="A288" s="8"/>
      <c r="B288" s="6"/>
      <c r="C288" s="8"/>
      <c r="D288" s="9">
        <f>IF(C288="","",IFERROR(VLOOKUP(C288,Clients!$A$2:$M$51,12,FALSE),"CLIENT INCONNU"))</f>
        <v/>
      </c>
      <c r="E288" s="8"/>
      <c r="F288" s="9">
        <f>IF(E288="","",IFERROR(VLOOKUP(E288,Services!$A$2:$D$4,2,FALSE),"SERVICE INCONNU"))</f>
        <v/>
      </c>
      <c r="G288" s="8"/>
      <c r="H288" s="8"/>
      <c r="I288" s="8"/>
      <c r="J288" s="11">
        <f>IF(E288="","",IFERROR(VLOOKUP(E288,Services!$A$2:$D$4,3,FALSE),0))</f>
        <v/>
      </c>
      <c r="K288" s="9">
        <f>IF(C288="","",IFERROR(VLOOKUP(C288,Clients!$A$2:$M$51,11,FALSE),"Non"))</f>
        <v/>
      </c>
      <c r="L288" s="12">
        <f>IF(A288="","",IF(I288&lt;&gt;"Réalisé",0,IF(E288&lt;&gt;"Sexologie",0,IF(K288&lt;&gt;"Oui",0,IF(AND(B288&gt;=Parametres!$B$2,B288&lt;=Parametres!$B$3),Parametres!$B$5,0)))))</f>
        <v/>
      </c>
      <c r="M288" s="11">
        <f>IF(A288="","",IF(I288="Réalisé",ROUND(H288*J288,2),0))</f>
        <v/>
      </c>
      <c r="N288" s="11">
        <f>IF(A288="","",ROUND(M288*L288,2))</f>
        <v/>
      </c>
      <c r="O288" s="11">
        <f>IF(A288="","",ROUND(M288-N288,2))</f>
        <v/>
      </c>
      <c r="P288" s="8"/>
      <c r="Q288" s="8"/>
      <c r="R288" s="13">
        <f>IF(A288="","",IF(I288="Réalisé",H288,0))</f>
        <v/>
      </c>
      <c r="S288" s="9">
        <f>IF(A288="","",IF(COUNTIF($A$2:$A$301,A288)&gt;1,"DOUBLON RDV",IF(COUNTIF(Clients!$A$2:$A$51,C288)&lt;&gt;1,"Client à corriger",IF(COUNTIF(Services!$A$2:$A$4,E288)&lt;&gt;1,"Service à corriger",IF(OR(NOT(ISNUMBER(B288)),G288&lt;=0,H288&lt;0,COUNTIF(ListeStatuts,I288)&lt;&gt;1,COUNTIF(ListeFactures,P288)&lt;&gt;1),"Saisie à corriger",IF(AND(I288="Réalisé",OR(H288&lt;=0,B288&gt;Parametres!$B$7)),"Réalisation à vérifier",IF(AND(P288="Émise",OR(Q288="",I288&lt;&gt;"Réalisé")),"Facture à corriger",IF(AND(Q288&lt;&gt;"",COUNTIF($Q$2:$Q$301,Q288)&gt;1),"DOUBLON FACTURE",IF(AND(I288="Réalisé",ABS(G288-H288)&gt;0.001,T288=""),"Écart heures","OK")))))))))</f>
        <v/>
      </c>
      <c r="T288" s="8"/>
    </row>
    <row r="289" spans="1:20" ht="22" customHeight="1">
      <c r="A289" s="8"/>
      <c r="B289" s="6"/>
      <c r="C289" s="8"/>
      <c r="D289" s="9">
        <f>IF(C289="","",IFERROR(VLOOKUP(C289,Clients!$A$2:$M$51,12,FALSE),"CLIENT INCONNU"))</f>
        <v/>
      </c>
      <c r="E289" s="8"/>
      <c r="F289" s="9">
        <f>IF(E289="","",IFERROR(VLOOKUP(E289,Services!$A$2:$D$4,2,FALSE),"SERVICE INCONNU"))</f>
        <v/>
      </c>
      <c r="G289" s="8"/>
      <c r="H289" s="8"/>
      <c r="I289" s="8"/>
      <c r="J289" s="11">
        <f>IF(E289="","",IFERROR(VLOOKUP(E289,Services!$A$2:$D$4,3,FALSE),0))</f>
        <v/>
      </c>
      <c r="K289" s="9">
        <f>IF(C289="","",IFERROR(VLOOKUP(C289,Clients!$A$2:$M$51,11,FALSE),"Non"))</f>
        <v/>
      </c>
      <c r="L289" s="12">
        <f>IF(A289="","",IF(I289&lt;&gt;"Réalisé",0,IF(E289&lt;&gt;"Sexologie",0,IF(K289&lt;&gt;"Oui",0,IF(AND(B289&gt;=Parametres!$B$2,B289&lt;=Parametres!$B$3),Parametres!$B$5,0)))))</f>
        <v/>
      </c>
      <c r="M289" s="11">
        <f>IF(A289="","",IF(I289="Réalisé",ROUND(H289*J289,2),0))</f>
        <v/>
      </c>
      <c r="N289" s="11">
        <f>IF(A289="","",ROUND(M289*L289,2))</f>
        <v/>
      </c>
      <c r="O289" s="11">
        <f>IF(A289="","",ROUND(M289-N289,2))</f>
        <v/>
      </c>
      <c r="P289" s="8"/>
      <c r="Q289" s="8"/>
      <c r="R289" s="13">
        <f>IF(A289="","",IF(I289="Réalisé",H289,0))</f>
        <v/>
      </c>
      <c r="S289" s="9">
        <f>IF(A289="","",IF(COUNTIF($A$2:$A$301,A289)&gt;1,"DOUBLON RDV",IF(COUNTIF(Clients!$A$2:$A$51,C289)&lt;&gt;1,"Client à corriger",IF(COUNTIF(Services!$A$2:$A$4,E289)&lt;&gt;1,"Service à corriger",IF(OR(NOT(ISNUMBER(B289)),G289&lt;=0,H289&lt;0,COUNTIF(ListeStatuts,I289)&lt;&gt;1,COUNTIF(ListeFactures,P289)&lt;&gt;1),"Saisie à corriger",IF(AND(I289="Réalisé",OR(H289&lt;=0,B289&gt;Parametres!$B$7)),"Réalisation à vérifier",IF(AND(P289="Émise",OR(Q289="",I289&lt;&gt;"Réalisé")),"Facture à corriger",IF(AND(Q289&lt;&gt;"",COUNTIF($Q$2:$Q$301,Q289)&gt;1),"DOUBLON FACTURE",IF(AND(I289="Réalisé",ABS(G289-H289)&gt;0.001,T289=""),"Écart heures","OK")))))))))</f>
        <v/>
      </c>
      <c r="T289" s="8"/>
    </row>
    <row r="290" spans="1:20" ht="22" customHeight="1">
      <c r="A290" s="8"/>
      <c r="B290" s="6"/>
      <c r="C290" s="8"/>
      <c r="D290" s="9">
        <f>IF(C290="","",IFERROR(VLOOKUP(C290,Clients!$A$2:$M$51,12,FALSE),"CLIENT INCONNU"))</f>
        <v/>
      </c>
      <c r="E290" s="8"/>
      <c r="F290" s="9">
        <f>IF(E290="","",IFERROR(VLOOKUP(E290,Services!$A$2:$D$4,2,FALSE),"SERVICE INCONNU"))</f>
        <v/>
      </c>
      <c r="G290" s="8"/>
      <c r="H290" s="8"/>
      <c r="I290" s="8"/>
      <c r="J290" s="11">
        <f>IF(E290="","",IFERROR(VLOOKUP(E290,Services!$A$2:$D$4,3,FALSE),0))</f>
        <v/>
      </c>
      <c r="K290" s="9">
        <f>IF(C290="","",IFERROR(VLOOKUP(C290,Clients!$A$2:$M$51,11,FALSE),"Non"))</f>
        <v/>
      </c>
      <c r="L290" s="12">
        <f>IF(A290="","",IF(I290&lt;&gt;"Réalisé",0,IF(E290&lt;&gt;"Sexologie",0,IF(K290&lt;&gt;"Oui",0,IF(AND(B290&gt;=Parametres!$B$2,B290&lt;=Parametres!$B$3),Parametres!$B$5,0)))))</f>
        <v/>
      </c>
      <c r="M290" s="11">
        <f>IF(A290="","",IF(I290="Réalisé",ROUND(H290*J290,2),0))</f>
        <v/>
      </c>
      <c r="N290" s="11">
        <f>IF(A290="","",ROUND(M290*L290,2))</f>
        <v/>
      </c>
      <c r="O290" s="11">
        <f>IF(A290="","",ROUND(M290-N290,2))</f>
        <v/>
      </c>
      <c r="P290" s="8"/>
      <c r="Q290" s="8"/>
      <c r="R290" s="13">
        <f>IF(A290="","",IF(I290="Réalisé",H290,0))</f>
        <v/>
      </c>
      <c r="S290" s="9">
        <f>IF(A290="","",IF(COUNTIF($A$2:$A$301,A290)&gt;1,"DOUBLON RDV",IF(COUNTIF(Clients!$A$2:$A$51,C290)&lt;&gt;1,"Client à corriger",IF(COUNTIF(Services!$A$2:$A$4,E290)&lt;&gt;1,"Service à corriger",IF(OR(NOT(ISNUMBER(B290)),G290&lt;=0,H290&lt;0,COUNTIF(ListeStatuts,I290)&lt;&gt;1,COUNTIF(ListeFactures,P290)&lt;&gt;1),"Saisie à corriger",IF(AND(I290="Réalisé",OR(H290&lt;=0,B290&gt;Parametres!$B$7)),"Réalisation à vérifier",IF(AND(P290="Émise",OR(Q290="",I290&lt;&gt;"Réalisé")),"Facture à corriger",IF(AND(Q290&lt;&gt;"",COUNTIF($Q$2:$Q$301,Q290)&gt;1),"DOUBLON FACTURE",IF(AND(I290="Réalisé",ABS(G290-H290)&gt;0.001,T290=""),"Écart heures","OK")))))))))</f>
        <v/>
      </c>
      <c r="T290" s="8"/>
    </row>
    <row r="291" spans="1:20" ht="22" customHeight="1">
      <c r="A291" s="8"/>
      <c r="B291" s="6"/>
      <c r="C291" s="8"/>
      <c r="D291" s="9">
        <f>IF(C291="","",IFERROR(VLOOKUP(C291,Clients!$A$2:$M$51,12,FALSE),"CLIENT INCONNU"))</f>
        <v/>
      </c>
      <c r="E291" s="8"/>
      <c r="F291" s="9">
        <f>IF(E291="","",IFERROR(VLOOKUP(E291,Services!$A$2:$D$4,2,FALSE),"SERVICE INCONNU"))</f>
        <v/>
      </c>
      <c r="G291" s="8"/>
      <c r="H291" s="8"/>
      <c r="I291" s="8"/>
      <c r="J291" s="11">
        <f>IF(E291="","",IFERROR(VLOOKUP(E291,Services!$A$2:$D$4,3,FALSE),0))</f>
        <v/>
      </c>
      <c r="K291" s="9">
        <f>IF(C291="","",IFERROR(VLOOKUP(C291,Clients!$A$2:$M$51,11,FALSE),"Non"))</f>
        <v/>
      </c>
      <c r="L291" s="12">
        <f>IF(A291="","",IF(I291&lt;&gt;"Réalisé",0,IF(E291&lt;&gt;"Sexologie",0,IF(K291&lt;&gt;"Oui",0,IF(AND(B291&gt;=Parametres!$B$2,B291&lt;=Parametres!$B$3),Parametres!$B$5,0)))))</f>
        <v/>
      </c>
      <c r="M291" s="11">
        <f>IF(A291="","",IF(I291="Réalisé",ROUND(H291*J291,2),0))</f>
        <v/>
      </c>
      <c r="N291" s="11">
        <f>IF(A291="","",ROUND(M291*L291,2))</f>
        <v/>
      </c>
      <c r="O291" s="11">
        <f>IF(A291="","",ROUND(M291-N291,2))</f>
        <v/>
      </c>
      <c r="P291" s="8"/>
      <c r="Q291" s="8"/>
      <c r="R291" s="13">
        <f>IF(A291="","",IF(I291="Réalisé",H291,0))</f>
        <v/>
      </c>
      <c r="S291" s="9">
        <f>IF(A291="","",IF(COUNTIF($A$2:$A$301,A291)&gt;1,"DOUBLON RDV",IF(COUNTIF(Clients!$A$2:$A$51,C291)&lt;&gt;1,"Client à corriger",IF(COUNTIF(Services!$A$2:$A$4,E291)&lt;&gt;1,"Service à corriger",IF(OR(NOT(ISNUMBER(B291)),G291&lt;=0,H291&lt;0,COUNTIF(ListeStatuts,I291)&lt;&gt;1,COUNTIF(ListeFactures,P291)&lt;&gt;1),"Saisie à corriger",IF(AND(I291="Réalisé",OR(H291&lt;=0,B291&gt;Parametres!$B$7)),"Réalisation à vérifier",IF(AND(P291="Émise",OR(Q291="",I291&lt;&gt;"Réalisé")),"Facture à corriger",IF(AND(Q291&lt;&gt;"",COUNTIF($Q$2:$Q$301,Q291)&gt;1),"DOUBLON FACTURE",IF(AND(I291="Réalisé",ABS(G291-H291)&gt;0.001,T291=""),"Écart heures","OK")))))))))</f>
        <v/>
      </c>
      <c r="T291" s="8"/>
    </row>
    <row r="292" spans="1:20" ht="22" customHeight="1">
      <c r="A292" s="8"/>
      <c r="B292" s="6"/>
      <c r="C292" s="8"/>
      <c r="D292" s="9">
        <f>IF(C292="","",IFERROR(VLOOKUP(C292,Clients!$A$2:$M$51,12,FALSE),"CLIENT INCONNU"))</f>
        <v/>
      </c>
      <c r="E292" s="8"/>
      <c r="F292" s="9">
        <f>IF(E292="","",IFERROR(VLOOKUP(E292,Services!$A$2:$D$4,2,FALSE),"SERVICE INCONNU"))</f>
        <v/>
      </c>
      <c r="G292" s="8"/>
      <c r="H292" s="8"/>
      <c r="I292" s="8"/>
      <c r="J292" s="11">
        <f>IF(E292="","",IFERROR(VLOOKUP(E292,Services!$A$2:$D$4,3,FALSE),0))</f>
        <v/>
      </c>
      <c r="K292" s="9">
        <f>IF(C292="","",IFERROR(VLOOKUP(C292,Clients!$A$2:$M$51,11,FALSE),"Non"))</f>
        <v/>
      </c>
      <c r="L292" s="12">
        <f>IF(A292="","",IF(I292&lt;&gt;"Réalisé",0,IF(E292&lt;&gt;"Sexologie",0,IF(K292&lt;&gt;"Oui",0,IF(AND(B292&gt;=Parametres!$B$2,B292&lt;=Parametres!$B$3),Parametres!$B$5,0)))))</f>
        <v/>
      </c>
      <c r="M292" s="11">
        <f>IF(A292="","",IF(I292="Réalisé",ROUND(H292*J292,2),0))</f>
        <v/>
      </c>
      <c r="N292" s="11">
        <f>IF(A292="","",ROUND(M292*L292,2))</f>
        <v/>
      </c>
      <c r="O292" s="11">
        <f>IF(A292="","",ROUND(M292-N292,2))</f>
        <v/>
      </c>
      <c r="P292" s="8"/>
      <c r="Q292" s="8"/>
      <c r="R292" s="13">
        <f>IF(A292="","",IF(I292="Réalisé",H292,0))</f>
        <v/>
      </c>
      <c r="S292" s="9">
        <f>IF(A292="","",IF(COUNTIF($A$2:$A$301,A292)&gt;1,"DOUBLON RDV",IF(COUNTIF(Clients!$A$2:$A$51,C292)&lt;&gt;1,"Client à corriger",IF(COUNTIF(Services!$A$2:$A$4,E292)&lt;&gt;1,"Service à corriger",IF(OR(NOT(ISNUMBER(B292)),G292&lt;=0,H292&lt;0,COUNTIF(ListeStatuts,I292)&lt;&gt;1,COUNTIF(ListeFactures,P292)&lt;&gt;1),"Saisie à corriger",IF(AND(I292="Réalisé",OR(H292&lt;=0,B292&gt;Parametres!$B$7)),"Réalisation à vérifier",IF(AND(P292="Émise",OR(Q292="",I292&lt;&gt;"Réalisé")),"Facture à corriger",IF(AND(Q292&lt;&gt;"",COUNTIF($Q$2:$Q$301,Q292)&gt;1),"DOUBLON FACTURE",IF(AND(I292="Réalisé",ABS(G292-H292)&gt;0.001,T292=""),"Écart heures","OK")))))))))</f>
        <v/>
      </c>
      <c r="T292" s="8"/>
    </row>
    <row r="293" spans="1:20" ht="22" customHeight="1">
      <c r="A293" s="8"/>
      <c r="B293" s="6"/>
      <c r="C293" s="8"/>
      <c r="D293" s="9">
        <f>IF(C293="","",IFERROR(VLOOKUP(C293,Clients!$A$2:$M$51,12,FALSE),"CLIENT INCONNU"))</f>
        <v/>
      </c>
      <c r="E293" s="8"/>
      <c r="F293" s="9">
        <f>IF(E293="","",IFERROR(VLOOKUP(E293,Services!$A$2:$D$4,2,FALSE),"SERVICE INCONNU"))</f>
        <v/>
      </c>
      <c r="G293" s="8"/>
      <c r="H293" s="8"/>
      <c r="I293" s="8"/>
      <c r="J293" s="11">
        <f>IF(E293="","",IFERROR(VLOOKUP(E293,Services!$A$2:$D$4,3,FALSE),0))</f>
        <v/>
      </c>
      <c r="K293" s="9">
        <f>IF(C293="","",IFERROR(VLOOKUP(C293,Clients!$A$2:$M$51,11,FALSE),"Non"))</f>
        <v/>
      </c>
      <c r="L293" s="12">
        <f>IF(A293="","",IF(I293&lt;&gt;"Réalisé",0,IF(E293&lt;&gt;"Sexologie",0,IF(K293&lt;&gt;"Oui",0,IF(AND(B293&gt;=Parametres!$B$2,B293&lt;=Parametres!$B$3),Parametres!$B$5,0)))))</f>
        <v/>
      </c>
      <c r="M293" s="11">
        <f>IF(A293="","",IF(I293="Réalisé",ROUND(H293*J293,2),0))</f>
        <v/>
      </c>
      <c r="N293" s="11">
        <f>IF(A293="","",ROUND(M293*L293,2))</f>
        <v/>
      </c>
      <c r="O293" s="11">
        <f>IF(A293="","",ROUND(M293-N293,2))</f>
        <v/>
      </c>
      <c r="P293" s="8"/>
      <c r="Q293" s="8"/>
      <c r="R293" s="13">
        <f>IF(A293="","",IF(I293="Réalisé",H293,0))</f>
        <v/>
      </c>
      <c r="S293" s="9">
        <f>IF(A293="","",IF(COUNTIF($A$2:$A$301,A293)&gt;1,"DOUBLON RDV",IF(COUNTIF(Clients!$A$2:$A$51,C293)&lt;&gt;1,"Client à corriger",IF(COUNTIF(Services!$A$2:$A$4,E293)&lt;&gt;1,"Service à corriger",IF(OR(NOT(ISNUMBER(B293)),G293&lt;=0,H293&lt;0,COUNTIF(ListeStatuts,I293)&lt;&gt;1,COUNTIF(ListeFactures,P293)&lt;&gt;1),"Saisie à corriger",IF(AND(I293="Réalisé",OR(H293&lt;=0,B293&gt;Parametres!$B$7)),"Réalisation à vérifier",IF(AND(P293="Émise",OR(Q293="",I293&lt;&gt;"Réalisé")),"Facture à corriger",IF(AND(Q293&lt;&gt;"",COUNTIF($Q$2:$Q$301,Q293)&gt;1),"DOUBLON FACTURE",IF(AND(I293="Réalisé",ABS(G293-H293)&gt;0.001,T293=""),"Écart heures","OK")))))))))</f>
        <v/>
      </c>
      <c r="T293" s="8"/>
    </row>
    <row r="294" spans="1:20" ht="22" customHeight="1">
      <c r="A294" s="8"/>
      <c r="B294" s="6"/>
      <c r="C294" s="8"/>
      <c r="D294" s="9">
        <f>IF(C294="","",IFERROR(VLOOKUP(C294,Clients!$A$2:$M$51,12,FALSE),"CLIENT INCONNU"))</f>
        <v/>
      </c>
      <c r="E294" s="8"/>
      <c r="F294" s="9">
        <f>IF(E294="","",IFERROR(VLOOKUP(E294,Services!$A$2:$D$4,2,FALSE),"SERVICE INCONNU"))</f>
        <v/>
      </c>
      <c r="G294" s="8"/>
      <c r="H294" s="8"/>
      <c r="I294" s="8"/>
      <c r="J294" s="11">
        <f>IF(E294="","",IFERROR(VLOOKUP(E294,Services!$A$2:$D$4,3,FALSE),0))</f>
        <v/>
      </c>
      <c r="K294" s="9">
        <f>IF(C294="","",IFERROR(VLOOKUP(C294,Clients!$A$2:$M$51,11,FALSE),"Non"))</f>
        <v/>
      </c>
      <c r="L294" s="12">
        <f>IF(A294="","",IF(I294&lt;&gt;"Réalisé",0,IF(E294&lt;&gt;"Sexologie",0,IF(K294&lt;&gt;"Oui",0,IF(AND(B294&gt;=Parametres!$B$2,B294&lt;=Parametres!$B$3),Parametres!$B$5,0)))))</f>
        <v/>
      </c>
      <c r="M294" s="11">
        <f>IF(A294="","",IF(I294="Réalisé",ROUND(H294*J294,2),0))</f>
        <v/>
      </c>
      <c r="N294" s="11">
        <f>IF(A294="","",ROUND(M294*L294,2))</f>
        <v/>
      </c>
      <c r="O294" s="11">
        <f>IF(A294="","",ROUND(M294-N294,2))</f>
        <v/>
      </c>
      <c r="P294" s="8"/>
      <c r="Q294" s="8"/>
      <c r="R294" s="13">
        <f>IF(A294="","",IF(I294="Réalisé",H294,0))</f>
        <v/>
      </c>
      <c r="S294" s="9">
        <f>IF(A294="","",IF(COUNTIF($A$2:$A$301,A294)&gt;1,"DOUBLON RDV",IF(COUNTIF(Clients!$A$2:$A$51,C294)&lt;&gt;1,"Client à corriger",IF(COUNTIF(Services!$A$2:$A$4,E294)&lt;&gt;1,"Service à corriger",IF(OR(NOT(ISNUMBER(B294)),G294&lt;=0,H294&lt;0,COUNTIF(ListeStatuts,I294)&lt;&gt;1,COUNTIF(ListeFactures,P294)&lt;&gt;1),"Saisie à corriger",IF(AND(I294="Réalisé",OR(H294&lt;=0,B294&gt;Parametres!$B$7)),"Réalisation à vérifier",IF(AND(P294="Émise",OR(Q294="",I294&lt;&gt;"Réalisé")),"Facture à corriger",IF(AND(Q294&lt;&gt;"",COUNTIF($Q$2:$Q$301,Q294)&gt;1),"DOUBLON FACTURE",IF(AND(I294="Réalisé",ABS(G294-H294)&gt;0.001,T294=""),"Écart heures","OK")))))))))</f>
        <v/>
      </c>
      <c r="T294" s="8"/>
    </row>
    <row r="295" spans="1:20" ht="22" customHeight="1">
      <c r="A295" s="8"/>
      <c r="B295" s="6"/>
      <c r="C295" s="8"/>
      <c r="D295" s="9">
        <f>IF(C295="","",IFERROR(VLOOKUP(C295,Clients!$A$2:$M$51,12,FALSE),"CLIENT INCONNU"))</f>
        <v/>
      </c>
      <c r="E295" s="8"/>
      <c r="F295" s="9">
        <f>IF(E295="","",IFERROR(VLOOKUP(E295,Services!$A$2:$D$4,2,FALSE),"SERVICE INCONNU"))</f>
        <v/>
      </c>
      <c r="G295" s="8"/>
      <c r="H295" s="8"/>
      <c r="I295" s="8"/>
      <c r="J295" s="11">
        <f>IF(E295="","",IFERROR(VLOOKUP(E295,Services!$A$2:$D$4,3,FALSE),0))</f>
        <v/>
      </c>
      <c r="K295" s="9">
        <f>IF(C295="","",IFERROR(VLOOKUP(C295,Clients!$A$2:$M$51,11,FALSE),"Non"))</f>
        <v/>
      </c>
      <c r="L295" s="12">
        <f>IF(A295="","",IF(I295&lt;&gt;"Réalisé",0,IF(E295&lt;&gt;"Sexologie",0,IF(K295&lt;&gt;"Oui",0,IF(AND(B295&gt;=Parametres!$B$2,B295&lt;=Parametres!$B$3),Parametres!$B$5,0)))))</f>
        <v/>
      </c>
      <c r="M295" s="11">
        <f>IF(A295="","",IF(I295="Réalisé",ROUND(H295*J295,2),0))</f>
        <v/>
      </c>
      <c r="N295" s="11">
        <f>IF(A295="","",ROUND(M295*L295,2))</f>
        <v/>
      </c>
      <c r="O295" s="11">
        <f>IF(A295="","",ROUND(M295-N295,2))</f>
        <v/>
      </c>
      <c r="P295" s="8"/>
      <c r="Q295" s="8"/>
      <c r="R295" s="13">
        <f>IF(A295="","",IF(I295="Réalisé",H295,0))</f>
        <v/>
      </c>
      <c r="S295" s="9">
        <f>IF(A295="","",IF(COUNTIF($A$2:$A$301,A295)&gt;1,"DOUBLON RDV",IF(COUNTIF(Clients!$A$2:$A$51,C295)&lt;&gt;1,"Client à corriger",IF(COUNTIF(Services!$A$2:$A$4,E295)&lt;&gt;1,"Service à corriger",IF(OR(NOT(ISNUMBER(B295)),G295&lt;=0,H295&lt;0,COUNTIF(ListeStatuts,I295)&lt;&gt;1,COUNTIF(ListeFactures,P295)&lt;&gt;1),"Saisie à corriger",IF(AND(I295="Réalisé",OR(H295&lt;=0,B295&gt;Parametres!$B$7)),"Réalisation à vérifier",IF(AND(P295="Émise",OR(Q295="",I295&lt;&gt;"Réalisé")),"Facture à corriger",IF(AND(Q295&lt;&gt;"",COUNTIF($Q$2:$Q$301,Q295)&gt;1),"DOUBLON FACTURE",IF(AND(I295="Réalisé",ABS(G295-H295)&gt;0.001,T295=""),"Écart heures","OK")))))))))</f>
        <v/>
      </c>
      <c r="T295" s="8"/>
    </row>
    <row r="296" spans="1:20" ht="22" customHeight="1">
      <c r="A296" s="8"/>
      <c r="B296" s="6"/>
      <c r="C296" s="8"/>
      <c r="D296" s="9">
        <f>IF(C296="","",IFERROR(VLOOKUP(C296,Clients!$A$2:$M$51,12,FALSE),"CLIENT INCONNU"))</f>
        <v/>
      </c>
      <c r="E296" s="8"/>
      <c r="F296" s="9">
        <f>IF(E296="","",IFERROR(VLOOKUP(E296,Services!$A$2:$D$4,2,FALSE),"SERVICE INCONNU"))</f>
        <v/>
      </c>
      <c r="G296" s="8"/>
      <c r="H296" s="8"/>
      <c r="I296" s="8"/>
      <c r="J296" s="11">
        <f>IF(E296="","",IFERROR(VLOOKUP(E296,Services!$A$2:$D$4,3,FALSE),0))</f>
        <v/>
      </c>
      <c r="K296" s="9">
        <f>IF(C296="","",IFERROR(VLOOKUP(C296,Clients!$A$2:$M$51,11,FALSE),"Non"))</f>
        <v/>
      </c>
      <c r="L296" s="12">
        <f>IF(A296="","",IF(I296&lt;&gt;"Réalisé",0,IF(E296&lt;&gt;"Sexologie",0,IF(K296&lt;&gt;"Oui",0,IF(AND(B296&gt;=Parametres!$B$2,B296&lt;=Parametres!$B$3),Parametres!$B$5,0)))))</f>
        <v/>
      </c>
      <c r="M296" s="11">
        <f>IF(A296="","",IF(I296="Réalisé",ROUND(H296*J296,2),0))</f>
        <v/>
      </c>
      <c r="N296" s="11">
        <f>IF(A296="","",ROUND(M296*L296,2))</f>
        <v/>
      </c>
      <c r="O296" s="11">
        <f>IF(A296="","",ROUND(M296-N296,2))</f>
        <v/>
      </c>
      <c r="P296" s="8"/>
      <c r="Q296" s="8"/>
      <c r="R296" s="13">
        <f>IF(A296="","",IF(I296="Réalisé",H296,0))</f>
        <v/>
      </c>
      <c r="S296" s="9">
        <f>IF(A296="","",IF(COUNTIF($A$2:$A$301,A296)&gt;1,"DOUBLON RDV",IF(COUNTIF(Clients!$A$2:$A$51,C296)&lt;&gt;1,"Client à corriger",IF(COUNTIF(Services!$A$2:$A$4,E296)&lt;&gt;1,"Service à corriger",IF(OR(NOT(ISNUMBER(B296)),G296&lt;=0,H296&lt;0,COUNTIF(ListeStatuts,I296)&lt;&gt;1,COUNTIF(ListeFactures,P296)&lt;&gt;1),"Saisie à corriger",IF(AND(I296="Réalisé",OR(H296&lt;=0,B296&gt;Parametres!$B$7)),"Réalisation à vérifier",IF(AND(P296="Émise",OR(Q296="",I296&lt;&gt;"Réalisé")),"Facture à corriger",IF(AND(Q296&lt;&gt;"",COUNTIF($Q$2:$Q$301,Q296)&gt;1),"DOUBLON FACTURE",IF(AND(I296="Réalisé",ABS(G296-H296)&gt;0.001,T296=""),"Écart heures","OK")))))))))</f>
        <v/>
      </c>
      <c r="T296" s="8"/>
    </row>
    <row r="297" spans="1:20" ht="22" customHeight="1">
      <c r="A297" s="8"/>
      <c r="B297" s="6"/>
      <c r="C297" s="8"/>
      <c r="D297" s="9">
        <f>IF(C297="","",IFERROR(VLOOKUP(C297,Clients!$A$2:$M$51,12,FALSE),"CLIENT INCONNU"))</f>
        <v/>
      </c>
      <c r="E297" s="8"/>
      <c r="F297" s="9">
        <f>IF(E297="","",IFERROR(VLOOKUP(E297,Services!$A$2:$D$4,2,FALSE),"SERVICE INCONNU"))</f>
        <v/>
      </c>
      <c r="G297" s="8"/>
      <c r="H297" s="8"/>
      <c r="I297" s="8"/>
      <c r="J297" s="11">
        <f>IF(E297="","",IFERROR(VLOOKUP(E297,Services!$A$2:$D$4,3,FALSE),0))</f>
        <v/>
      </c>
      <c r="K297" s="9">
        <f>IF(C297="","",IFERROR(VLOOKUP(C297,Clients!$A$2:$M$51,11,FALSE),"Non"))</f>
        <v/>
      </c>
      <c r="L297" s="12">
        <f>IF(A297="","",IF(I297&lt;&gt;"Réalisé",0,IF(E297&lt;&gt;"Sexologie",0,IF(K297&lt;&gt;"Oui",0,IF(AND(B297&gt;=Parametres!$B$2,B297&lt;=Parametres!$B$3),Parametres!$B$5,0)))))</f>
        <v/>
      </c>
      <c r="M297" s="11">
        <f>IF(A297="","",IF(I297="Réalisé",ROUND(H297*J297,2),0))</f>
        <v/>
      </c>
      <c r="N297" s="11">
        <f>IF(A297="","",ROUND(M297*L297,2))</f>
        <v/>
      </c>
      <c r="O297" s="11">
        <f>IF(A297="","",ROUND(M297-N297,2))</f>
        <v/>
      </c>
      <c r="P297" s="8"/>
      <c r="Q297" s="8"/>
      <c r="R297" s="13">
        <f>IF(A297="","",IF(I297="Réalisé",H297,0))</f>
        <v/>
      </c>
      <c r="S297" s="9">
        <f>IF(A297="","",IF(COUNTIF($A$2:$A$301,A297)&gt;1,"DOUBLON RDV",IF(COUNTIF(Clients!$A$2:$A$51,C297)&lt;&gt;1,"Client à corriger",IF(COUNTIF(Services!$A$2:$A$4,E297)&lt;&gt;1,"Service à corriger",IF(OR(NOT(ISNUMBER(B297)),G297&lt;=0,H297&lt;0,COUNTIF(ListeStatuts,I297)&lt;&gt;1,COUNTIF(ListeFactures,P297)&lt;&gt;1),"Saisie à corriger",IF(AND(I297="Réalisé",OR(H297&lt;=0,B297&gt;Parametres!$B$7)),"Réalisation à vérifier",IF(AND(P297="Émise",OR(Q297="",I297&lt;&gt;"Réalisé")),"Facture à corriger",IF(AND(Q297&lt;&gt;"",COUNTIF($Q$2:$Q$301,Q297)&gt;1),"DOUBLON FACTURE",IF(AND(I297="Réalisé",ABS(G297-H297)&gt;0.001,T297=""),"Écart heures","OK")))))))))</f>
        <v/>
      </c>
      <c r="T297" s="8"/>
    </row>
    <row r="298" spans="1:20" ht="22" customHeight="1">
      <c r="A298" s="8"/>
      <c r="B298" s="6"/>
      <c r="C298" s="8"/>
      <c r="D298" s="9">
        <f>IF(C298="","",IFERROR(VLOOKUP(C298,Clients!$A$2:$M$51,12,FALSE),"CLIENT INCONNU"))</f>
        <v/>
      </c>
      <c r="E298" s="8"/>
      <c r="F298" s="9">
        <f>IF(E298="","",IFERROR(VLOOKUP(E298,Services!$A$2:$D$4,2,FALSE),"SERVICE INCONNU"))</f>
        <v/>
      </c>
      <c r="G298" s="8"/>
      <c r="H298" s="8"/>
      <c r="I298" s="8"/>
      <c r="J298" s="11">
        <f>IF(E298="","",IFERROR(VLOOKUP(E298,Services!$A$2:$D$4,3,FALSE),0))</f>
        <v/>
      </c>
      <c r="K298" s="9">
        <f>IF(C298="","",IFERROR(VLOOKUP(C298,Clients!$A$2:$M$51,11,FALSE),"Non"))</f>
        <v/>
      </c>
      <c r="L298" s="12">
        <f>IF(A298="","",IF(I298&lt;&gt;"Réalisé",0,IF(E298&lt;&gt;"Sexologie",0,IF(K298&lt;&gt;"Oui",0,IF(AND(B298&gt;=Parametres!$B$2,B298&lt;=Parametres!$B$3),Parametres!$B$5,0)))))</f>
        <v/>
      </c>
      <c r="M298" s="11">
        <f>IF(A298="","",IF(I298="Réalisé",ROUND(H298*J298,2),0))</f>
        <v/>
      </c>
      <c r="N298" s="11">
        <f>IF(A298="","",ROUND(M298*L298,2))</f>
        <v/>
      </c>
      <c r="O298" s="11">
        <f>IF(A298="","",ROUND(M298-N298,2))</f>
        <v/>
      </c>
      <c r="P298" s="8"/>
      <c r="Q298" s="8"/>
      <c r="R298" s="13">
        <f>IF(A298="","",IF(I298="Réalisé",H298,0))</f>
        <v/>
      </c>
      <c r="S298" s="9">
        <f>IF(A298="","",IF(COUNTIF($A$2:$A$301,A298)&gt;1,"DOUBLON RDV",IF(COUNTIF(Clients!$A$2:$A$51,C298)&lt;&gt;1,"Client à corriger",IF(COUNTIF(Services!$A$2:$A$4,E298)&lt;&gt;1,"Service à corriger",IF(OR(NOT(ISNUMBER(B298)),G298&lt;=0,H298&lt;0,COUNTIF(ListeStatuts,I298)&lt;&gt;1,COUNTIF(ListeFactures,P298)&lt;&gt;1),"Saisie à corriger",IF(AND(I298="Réalisé",OR(H298&lt;=0,B298&gt;Parametres!$B$7)),"Réalisation à vérifier",IF(AND(P298="Émise",OR(Q298="",I298&lt;&gt;"Réalisé")),"Facture à corriger",IF(AND(Q298&lt;&gt;"",COUNTIF($Q$2:$Q$301,Q298)&gt;1),"DOUBLON FACTURE",IF(AND(I298="Réalisé",ABS(G298-H298)&gt;0.001,T298=""),"Écart heures","OK")))))))))</f>
        <v/>
      </c>
      <c r="T298" s="8"/>
    </row>
    <row r="299" spans="1:20" ht="22" customHeight="1">
      <c r="A299" s="8"/>
      <c r="B299" s="6"/>
      <c r="C299" s="8"/>
      <c r="D299" s="9">
        <f>IF(C299="","",IFERROR(VLOOKUP(C299,Clients!$A$2:$M$51,12,FALSE),"CLIENT INCONNU"))</f>
        <v/>
      </c>
      <c r="E299" s="8"/>
      <c r="F299" s="9">
        <f>IF(E299="","",IFERROR(VLOOKUP(E299,Services!$A$2:$D$4,2,FALSE),"SERVICE INCONNU"))</f>
        <v/>
      </c>
      <c r="G299" s="8"/>
      <c r="H299" s="8"/>
      <c r="I299" s="8"/>
      <c r="J299" s="11">
        <f>IF(E299="","",IFERROR(VLOOKUP(E299,Services!$A$2:$D$4,3,FALSE),0))</f>
        <v/>
      </c>
      <c r="K299" s="9">
        <f>IF(C299="","",IFERROR(VLOOKUP(C299,Clients!$A$2:$M$51,11,FALSE),"Non"))</f>
        <v/>
      </c>
      <c r="L299" s="12">
        <f>IF(A299="","",IF(I299&lt;&gt;"Réalisé",0,IF(E299&lt;&gt;"Sexologie",0,IF(K299&lt;&gt;"Oui",0,IF(AND(B299&gt;=Parametres!$B$2,B299&lt;=Parametres!$B$3),Parametres!$B$5,0)))))</f>
        <v/>
      </c>
      <c r="M299" s="11">
        <f>IF(A299="","",IF(I299="Réalisé",ROUND(H299*J299,2),0))</f>
        <v/>
      </c>
      <c r="N299" s="11">
        <f>IF(A299="","",ROUND(M299*L299,2))</f>
        <v/>
      </c>
      <c r="O299" s="11">
        <f>IF(A299="","",ROUND(M299-N299,2))</f>
        <v/>
      </c>
      <c r="P299" s="8"/>
      <c r="Q299" s="8"/>
      <c r="R299" s="13">
        <f>IF(A299="","",IF(I299="Réalisé",H299,0))</f>
        <v/>
      </c>
      <c r="S299" s="9">
        <f>IF(A299="","",IF(COUNTIF($A$2:$A$301,A299)&gt;1,"DOUBLON RDV",IF(COUNTIF(Clients!$A$2:$A$51,C299)&lt;&gt;1,"Client à corriger",IF(COUNTIF(Services!$A$2:$A$4,E299)&lt;&gt;1,"Service à corriger",IF(OR(NOT(ISNUMBER(B299)),G299&lt;=0,H299&lt;0,COUNTIF(ListeStatuts,I299)&lt;&gt;1,COUNTIF(ListeFactures,P299)&lt;&gt;1),"Saisie à corriger",IF(AND(I299="Réalisé",OR(H299&lt;=0,B299&gt;Parametres!$B$7)),"Réalisation à vérifier",IF(AND(P299="Émise",OR(Q299="",I299&lt;&gt;"Réalisé")),"Facture à corriger",IF(AND(Q299&lt;&gt;"",COUNTIF($Q$2:$Q$301,Q299)&gt;1),"DOUBLON FACTURE",IF(AND(I299="Réalisé",ABS(G299-H299)&gt;0.001,T299=""),"Écart heures","OK")))))))))</f>
        <v/>
      </c>
      <c r="T299" s="8"/>
    </row>
    <row r="300" spans="1:20" ht="22" customHeight="1">
      <c r="A300" s="8"/>
      <c r="B300" s="6"/>
      <c r="C300" s="8"/>
      <c r="D300" s="9">
        <f>IF(C300="","",IFERROR(VLOOKUP(C300,Clients!$A$2:$M$51,12,FALSE),"CLIENT INCONNU"))</f>
        <v/>
      </c>
      <c r="E300" s="8"/>
      <c r="F300" s="9">
        <f>IF(E300="","",IFERROR(VLOOKUP(E300,Services!$A$2:$D$4,2,FALSE),"SERVICE INCONNU"))</f>
        <v/>
      </c>
      <c r="G300" s="8"/>
      <c r="H300" s="8"/>
      <c r="I300" s="8"/>
      <c r="J300" s="11">
        <f>IF(E300="","",IFERROR(VLOOKUP(E300,Services!$A$2:$D$4,3,FALSE),0))</f>
        <v/>
      </c>
      <c r="K300" s="9">
        <f>IF(C300="","",IFERROR(VLOOKUP(C300,Clients!$A$2:$M$51,11,FALSE),"Non"))</f>
        <v/>
      </c>
      <c r="L300" s="12">
        <f>IF(A300="","",IF(I300&lt;&gt;"Réalisé",0,IF(E300&lt;&gt;"Sexologie",0,IF(K300&lt;&gt;"Oui",0,IF(AND(B300&gt;=Parametres!$B$2,B300&lt;=Parametres!$B$3),Parametres!$B$5,0)))))</f>
        <v/>
      </c>
      <c r="M300" s="11">
        <f>IF(A300="","",IF(I300="Réalisé",ROUND(H300*J300,2),0))</f>
        <v/>
      </c>
      <c r="N300" s="11">
        <f>IF(A300="","",ROUND(M300*L300,2))</f>
        <v/>
      </c>
      <c r="O300" s="11">
        <f>IF(A300="","",ROUND(M300-N300,2))</f>
        <v/>
      </c>
      <c r="P300" s="8"/>
      <c r="Q300" s="8"/>
      <c r="R300" s="13">
        <f>IF(A300="","",IF(I300="Réalisé",H300,0))</f>
        <v/>
      </c>
      <c r="S300" s="9">
        <f>IF(A300="","",IF(COUNTIF($A$2:$A$301,A300)&gt;1,"DOUBLON RDV",IF(COUNTIF(Clients!$A$2:$A$51,C300)&lt;&gt;1,"Client à corriger",IF(COUNTIF(Services!$A$2:$A$4,E300)&lt;&gt;1,"Service à corriger",IF(OR(NOT(ISNUMBER(B300)),G300&lt;=0,H300&lt;0,COUNTIF(ListeStatuts,I300)&lt;&gt;1,COUNTIF(ListeFactures,P300)&lt;&gt;1),"Saisie à corriger",IF(AND(I300="Réalisé",OR(H300&lt;=0,B300&gt;Parametres!$B$7)),"Réalisation à vérifier",IF(AND(P300="Émise",OR(Q300="",I300&lt;&gt;"Réalisé")),"Facture à corriger",IF(AND(Q300&lt;&gt;"",COUNTIF($Q$2:$Q$301,Q300)&gt;1),"DOUBLON FACTURE",IF(AND(I300="Réalisé",ABS(G300-H300)&gt;0.001,T300=""),"Écart heures","OK")))))))))</f>
        <v/>
      </c>
      <c r="T300" s="8"/>
    </row>
    <row r="301" spans="1:20" ht="22" customHeight="1">
      <c r="A301" s="8"/>
      <c r="B301" s="6"/>
      <c r="C301" s="8"/>
      <c r="D301" s="9">
        <f>IF(C301="","",IFERROR(VLOOKUP(C301,Clients!$A$2:$M$51,12,FALSE),"CLIENT INCONNU"))</f>
        <v/>
      </c>
      <c r="E301" s="8"/>
      <c r="F301" s="9">
        <f>IF(E301="","",IFERROR(VLOOKUP(E301,Services!$A$2:$D$4,2,FALSE),"SERVICE INCONNU"))</f>
        <v/>
      </c>
      <c r="G301" s="8"/>
      <c r="H301" s="8"/>
      <c r="I301" s="8"/>
      <c r="J301" s="11">
        <f>IF(E301="","",IFERROR(VLOOKUP(E301,Services!$A$2:$D$4,3,FALSE),0))</f>
        <v/>
      </c>
      <c r="K301" s="9">
        <f>IF(C301="","",IFERROR(VLOOKUP(C301,Clients!$A$2:$M$51,11,FALSE),"Non"))</f>
        <v/>
      </c>
      <c r="L301" s="12">
        <f>IF(A301="","",IF(I301&lt;&gt;"Réalisé",0,IF(E301&lt;&gt;"Sexologie",0,IF(K301&lt;&gt;"Oui",0,IF(AND(B301&gt;=Parametres!$B$2,B301&lt;=Parametres!$B$3),Parametres!$B$5,0)))))</f>
        <v/>
      </c>
      <c r="M301" s="11">
        <f>IF(A301="","",IF(I301="Réalisé",ROUND(H301*J301,2),0))</f>
        <v/>
      </c>
      <c r="N301" s="11">
        <f>IF(A301="","",ROUND(M301*L301,2))</f>
        <v/>
      </c>
      <c r="O301" s="11">
        <f>IF(A301="","",ROUND(M301-N301,2))</f>
        <v/>
      </c>
      <c r="P301" s="8"/>
      <c r="Q301" s="8"/>
      <c r="R301" s="13">
        <f>IF(A301="","",IF(I301="Réalisé",H301,0))</f>
        <v/>
      </c>
      <c r="S301" s="9">
        <f>IF(A301="","",IF(COUNTIF($A$2:$A$301,A301)&gt;1,"DOUBLON RDV",IF(COUNTIF(Clients!$A$2:$A$51,C301)&lt;&gt;1,"Client à corriger",IF(COUNTIF(Services!$A$2:$A$4,E301)&lt;&gt;1,"Service à corriger",IF(OR(NOT(ISNUMBER(B301)),G301&lt;=0,H301&lt;0,COUNTIF(ListeStatuts,I301)&lt;&gt;1,COUNTIF(ListeFactures,P301)&lt;&gt;1),"Saisie à corriger",IF(AND(I301="Réalisé",OR(H301&lt;=0,B301&gt;Parametres!$B$7)),"Réalisation à vérifier",IF(AND(P301="Émise",OR(Q301="",I301&lt;&gt;"Réalisé")),"Facture à corriger",IF(AND(Q301&lt;&gt;"",COUNTIF($Q$2:$Q$301,Q301)&gt;1),"DOUBLON FACTURE",IF(AND(I301="Réalisé",ABS(G301-H301)&gt;0.001,T301=""),"Écart heures","OK")))))))))</f>
        <v/>
      </c>
      <c r="T301" s="8"/>
    </row>
  </sheetData>
  <sheetProtection sheet="1" objects="1" scenarios="1" sort="0" autoFilter="0"/>
  <autoFilter ref="A1:T301"/>
  <conditionalFormatting sqref="A2:T301">
    <cfRule type="expression" dxfId="0" priority="1">
      <formula>AND($A2&lt;&gt;"",$S2&lt;&gt;"OK")</formula>
    </cfRule>
  </conditionalFormatting>
  <conditionalFormatting sqref="L2:L301">
    <cfRule type="cellIs" dxfId="1" priority="2" operator="greaterThan">
      <formula>0</formula>
    </cfRule>
  </conditionalFormatting>
  <dataValidations count="9">
    <dataValidation type="custom" allowBlank="1" showInputMessage="1" showErrorMessage="1" errorTitle="Valeur à corriger" error="Utilisez une valeur autorisée; consultez le guide." sqref="A2:A301">
      <formula1>OR(A2="",COUNTIF($A$2:$A$301,A2)=1)</formula1>
    </dataValidation>
    <dataValidation type="date" allowBlank="1" showInputMessage="1" showErrorMessage="1" errorTitle="Valeur à corriger" error="Utilisez une valeur autorisée; consultez le guide." sqref="B2:B301">
      <formula1>43831</formula1>
      <formula2>51501</formula2>
    </dataValidation>
    <dataValidation type="list" allowBlank="1" showInputMessage="1" showErrorMessage="1" errorTitle="Valeur à corriger" error="Utilisez une valeur autorisée; consultez le guide." sqref="C2:C301">
      <formula1>ListeClients</formula1>
    </dataValidation>
    <dataValidation type="list" allowBlank="1" showInputMessage="1" showErrorMessage="1" errorTitle="Valeur à corriger" error="Utilisez une valeur autorisée; consultez le guide." sqref="E2:E301">
      <formula1>ListeServices</formula1>
    </dataValidation>
    <dataValidation type="decimal" allowBlank="1" showInputMessage="1" showErrorMessage="1" errorTitle="Valeur à corriger" error="Utilisez une valeur autorisée; consultez le guide." sqref="G2:G301">
      <formula1>0.25</formula1>
      <formula2>12</formula2>
    </dataValidation>
    <dataValidation type="decimal" allowBlank="1" showInputMessage="1" showErrorMessage="1" errorTitle="Valeur à corriger" error="Utilisez une valeur autorisée; consultez le guide." sqref="H2:H301">
      <formula1>0</formula1>
      <formula2>12</formula2>
    </dataValidation>
    <dataValidation type="list" allowBlank="1" showInputMessage="1" showErrorMessage="1" errorTitle="Valeur à corriger" error="Utilisez une valeur autorisée; consultez le guide." sqref="I2:I301">
      <formula1>ListeStatuts</formula1>
    </dataValidation>
    <dataValidation type="list" allowBlank="1" showInputMessage="1" showErrorMessage="1" errorTitle="Valeur à corriger" error="Utilisez une valeur autorisée; consultez le guide." sqref="P2:P301">
      <formula1>ListeFactures</formula1>
    </dataValidation>
    <dataValidation type="custom" allowBlank="1" showInputMessage="1" showErrorMessage="1" errorTitle="Valeur à corriger" error="Utilisez une valeur autorisée; consultez le guide." sqref="Q2:Q301">
      <formula1>OR(Q2="",COUNTIF($Q$2:$Q$301,Q2)=1)</formula1>
    </dataValidation>
  </dataValidations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01"/>
  <sheetViews>
    <sheetView showGridLines="0" workbookViewId="0">
      <pane ySplit="1" topLeftCell="A2" activePane="bottomLeft" state="frozen"/>
      <selection pane="bottomLeft"/>
    </sheetView>
  </sheetViews>
  <sheetFormatPr defaultRowHeight="22" customHeight="1"/>
  <cols>
    <col min="1" max="5" width="19.7109375" customWidth="1"/>
    <col min="6" max="7" width="29.7109375" customWidth="1"/>
    <col min="8" max="11" width="23.7109375" customWidth="1"/>
  </cols>
  <sheetData>
    <row r="1" spans="1:22" ht="36" customHeight="1">
      <c r="A1" s="5" t="s">
        <v>184</v>
      </c>
      <c r="B1" s="5" t="s">
        <v>185</v>
      </c>
      <c r="C1" s="5" t="s">
        <v>186</v>
      </c>
      <c r="D1" s="5" t="s">
        <v>54</v>
      </c>
      <c r="E1" s="5" t="s">
        <v>22</v>
      </c>
      <c r="F1" s="5" t="s">
        <v>187</v>
      </c>
      <c r="G1" s="5" t="s">
        <v>188</v>
      </c>
      <c r="H1" s="5" t="s">
        <v>129</v>
      </c>
      <c r="I1" s="5" t="s">
        <v>189</v>
      </c>
      <c r="J1" s="5" t="s">
        <v>190</v>
      </c>
      <c r="K1" s="5" t="s">
        <v>138</v>
      </c>
      <c r="V1" s="3" t="s">
        <v>281</v>
      </c>
    </row>
    <row r="2" spans="1:22" ht="22" customHeight="1">
      <c r="A2" s="8" t="s">
        <v>191</v>
      </c>
      <c r="B2" s="6">
        <v>46275</v>
      </c>
      <c r="C2" s="8" t="s">
        <v>60</v>
      </c>
      <c r="D2" s="8" t="s">
        <v>67</v>
      </c>
      <c r="E2" s="8" t="s">
        <v>34</v>
      </c>
      <c r="F2" s="9" t="str">
        <f>IF(E2="","",IFERROR(VLOOKUP(E2,Services!$A$2:$D$4,2,FALSE),"Service à corriger"))</f>
        <v>Julie Grandmaison</v>
      </c>
      <c r="G2" s="8" t="s">
        <v>192</v>
      </c>
      <c r="H2" s="8" t="s">
        <v>42</v>
      </c>
      <c r="I2" s="8"/>
      <c r="J2" s="8"/>
      <c r="K2" s="9" t="str">
        <f>IF(A2="","",IF(COUNTIF($A$2:$A$301,A2)&gt;1,"DOUBLON",IF(OR(B2="",C2="",D2="",COUNTIF(ListeServices,E2)&lt;&gt;1,G2="",COUNTIF(ListeMessages,H2)&lt;&gt;1),"Saisie incomplète",IF(OR(AND(I2&lt;&gt;"",I2&lt;B2),AND(J2&lt;&gt;"",OR(I2="",J2&lt;I2)),B2&gt;Parametres!$B$7),"Dates à corriger",IF(AND(H2="Traité",OR(I2="",J2="")),"Dates manquantes",IF(AND(H2="Transmis",I2=""),"Transmission manquante",IF(AND(H2&lt;&gt;"Traité",Parametres!$B$7-B2&gt;1),"À relancer","OK")))))))</f>
        <v>À relancer</v>
      </c>
    </row>
    <row r="3" spans="1:22" ht="22" customHeight="1">
      <c r="A3" s="8" t="s">
        <v>193</v>
      </c>
      <c r="B3" s="6">
        <v>46278</v>
      </c>
      <c r="C3" s="8" t="s">
        <v>74</v>
      </c>
      <c r="D3" s="8" t="s">
        <v>67</v>
      </c>
      <c r="E3" s="8" t="s">
        <v>32</v>
      </c>
      <c r="F3" s="9" t="str">
        <f>IF(E3="","",IFERROR(VLOOKUP(E3,Services!$A$2:$D$4,2,FALSE),"Service à corriger"))</f>
        <v>Micheline Champagne</v>
      </c>
      <c r="G3" s="8" t="s">
        <v>194</v>
      </c>
      <c r="H3" s="8" t="s">
        <v>43</v>
      </c>
      <c r="I3" s="6">
        <v>46278</v>
      </c>
      <c r="J3" s="8"/>
      <c r="K3" s="9" t="str">
        <f>IF(A3="","",IF(COUNTIF($A$2:$A$301,A3)&gt;1,"DOUBLON",IF(OR(B3="",C3="",D3="",COUNTIF(ListeServices,E3)&lt;&gt;1,G3="",COUNTIF(ListeMessages,H3)&lt;&gt;1),"Saisie incomplète",IF(OR(AND(I3&lt;&gt;"",I3&lt;B3),AND(J3&lt;&gt;"",OR(I3="",J3&lt;I3)),B3&gt;Parametres!$B$7),"Dates à corriger",IF(AND(H3="Traité",OR(I3="",J3="")),"Dates manquantes",IF(AND(H3="Transmis",I3=""),"Transmission manquante",IF(AND(H3&lt;&gt;"Traité",Parametres!$B$7-B3&gt;1),"À relancer","OK")))))))</f>
        <v>OK</v>
      </c>
    </row>
    <row r="4" spans="1:22" ht="22" customHeight="1">
      <c r="A4" s="8" t="s">
        <v>195</v>
      </c>
      <c r="B4" s="6">
        <v>46276</v>
      </c>
      <c r="C4" s="8" t="s">
        <v>79</v>
      </c>
      <c r="D4" s="8" t="s">
        <v>67</v>
      </c>
      <c r="E4" s="8" t="s">
        <v>30</v>
      </c>
      <c r="F4" s="9" t="str">
        <f>IF(E4="","",IFERROR(VLOOKUP(E4,Services!$A$2:$D$4,2,FALSE),"Service à corriger"))</f>
        <v>Moumadou N’Tougu</v>
      </c>
      <c r="G4" s="8" t="s">
        <v>196</v>
      </c>
      <c r="H4" s="8" t="s">
        <v>44</v>
      </c>
      <c r="I4" s="6">
        <v>46276</v>
      </c>
      <c r="J4" s="6">
        <v>46277</v>
      </c>
      <c r="K4" s="9" t="str">
        <f>IF(A4="","",IF(COUNTIF($A$2:$A$301,A4)&gt;1,"DOUBLON",IF(OR(B4="",C4="",D4="",COUNTIF(ListeServices,E4)&lt;&gt;1,G4="",COUNTIF(ListeMessages,H4)&lt;&gt;1),"Saisie incomplète",IF(OR(AND(I4&lt;&gt;"",I4&lt;B4),AND(J4&lt;&gt;"",OR(I4="",J4&lt;I4)),B4&gt;Parametres!$B$7),"Dates à corriger",IF(AND(H4="Traité",OR(I4="",J4="")),"Dates manquantes",IF(AND(H4="Transmis",I4=""),"Transmission manquante",IF(AND(H4&lt;&gt;"Traité",Parametres!$B$7-B4&gt;1),"À relancer","OK")))))))</f>
        <v>OK</v>
      </c>
    </row>
    <row r="5" spans="1:22" ht="22" customHeight="1">
      <c r="A5" s="8"/>
      <c r="B5" s="8"/>
      <c r="C5" s="8"/>
      <c r="D5" s="8"/>
      <c r="E5" s="8"/>
      <c r="F5" s="9">
        <f>IF(E5="","",IFERROR(VLOOKUP(E5,Services!$A$2:$D$4,2,FALSE),"Service à corriger"))</f>
        <v/>
      </c>
      <c r="G5" s="8"/>
      <c r="H5" s="8"/>
      <c r="I5" s="8"/>
      <c r="J5" s="8"/>
      <c r="K5" s="9">
        <f>IF(A5="","",IF(COUNTIF($A$2:$A$301,A5)&gt;1,"DOUBLON",IF(OR(B5="",C5="",D5="",COUNTIF(ListeServices,E5)&lt;&gt;1,G5="",COUNTIF(ListeMessages,H5)&lt;&gt;1),"Saisie incomplète",IF(OR(AND(I5&lt;&gt;"",I5&lt;B5),AND(J5&lt;&gt;"",OR(I5="",J5&lt;I5)),B5&gt;Parametres!$B$7),"Dates à corriger",IF(AND(H5="Traité",OR(I5="",J5="")),"Dates manquantes",IF(AND(H5="Transmis",I5=""),"Transmission manquante",IF(AND(H5&lt;&gt;"Traité",Parametres!$B$7-B5&gt;1),"À relancer","OK")))))))</f>
        <v/>
      </c>
    </row>
    <row r="6" spans="1:22" ht="22" customHeight="1">
      <c r="A6" s="8"/>
      <c r="B6" s="8"/>
      <c r="C6" s="8"/>
      <c r="D6" s="8"/>
      <c r="E6" s="8"/>
      <c r="F6" s="9">
        <f>IF(E6="","",IFERROR(VLOOKUP(E6,Services!$A$2:$D$4,2,FALSE),"Service à corriger"))</f>
        <v/>
      </c>
      <c r="G6" s="8"/>
      <c r="H6" s="8"/>
      <c r="I6" s="8"/>
      <c r="J6" s="8"/>
      <c r="K6" s="9">
        <f>IF(A6="","",IF(COUNTIF($A$2:$A$301,A6)&gt;1,"DOUBLON",IF(OR(B6="",C6="",D6="",COUNTIF(ListeServices,E6)&lt;&gt;1,G6="",COUNTIF(ListeMessages,H6)&lt;&gt;1),"Saisie incomplète",IF(OR(AND(I6&lt;&gt;"",I6&lt;B6),AND(J6&lt;&gt;"",OR(I6="",J6&lt;I6)),B6&gt;Parametres!$B$7),"Dates à corriger",IF(AND(H6="Traité",OR(I6="",J6="")),"Dates manquantes",IF(AND(H6="Transmis",I6=""),"Transmission manquante",IF(AND(H6&lt;&gt;"Traité",Parametres!$B$7-B6&gt;1),"À relancer","OK")))))))</f>
        <v/>
      </c>
    </row>
    <row r="7" spans="1:22" ht="22" customHeight="1">
      <c r="A7" s="8"/>
      <c r="B7" s="8"/>
      <c r="C7" s="8"/>
      <c r="D7" s="8"/>
      <c r="E7" s="8"/>
      <c r="F7" s="9">
        <f>IF(E7="","",IFERROR(VLOOKUP(E7,Services!$A$2:$D$4,2,FALSE),"Service à corriger"))</f>
        <v/>
      </c>
      <c r="G7" s="8"/>
      <c r="H7" s="8"/>
      <c r="I7" s="8"/>
      <c r="J7" s="8"/>
      <c r="K7" s="9">
        <f>IF(A7="","",IF(COUNTIF($A$2:$A$301,A7)&gt;1,"DOUBLON",IF(OR(B7="",C7="",D7="",COUNTIF(ListeServices,E7)&lt;&gt;1,G7="",COUNTIF(ListeMessages,H7)&lt;&gt;1),"Saisie incomplète",IF(OR(AND(I7&lt;&gt;"",I7&lt;B7),AND(J7&lt;&gt;"",OR(I7="",J7&lt;I7)),B7&gt;Parametres!$B$7),"Dates à corriger",IF(AND(H7="Traité",OR(I7="",J7="")),"Dates manquantes",IF(AND(H7="Transmis",I7=""),"Transmission manquante",IF(AND(H7&lt;&gt;"Traité",Parametres!$B$7-B7&gt;1),"À relancer","OK")))))))</f>
        <v/>
      </c>
    </row>
    <row r="8" spans="1:22" ht="22" customHeight="1">
      <c r="A8" s="8"/>
      <c r="B8" s="8"/>
      <c r="C8" s="8"/>
      <c r="D8" s="8"/>
      <c r="E8" s="8"/>
      <c r="F8" s="9">
        <f>IF(E8="","",IFERROR(VLOOKUP(E8,Services!$A$2:$D$4,2,FALSE),"Service à corriger"))</f>
        <v/>
      </c>
      <c r="G8" s="8"/>
      <c r="H8" s="8"/>
      <c r="I8" s="8"/>
      <c r="J8" s="8"/>
      <c r="K8" s="9">
        <f>IF(A8="","",IF(COUNTIF($A$2:$A$301,A8)&gt;1,"DOUBLON",IF(OR(B8="",C8="",D8="",COUNTIF(ListeServices,E8)&lt;&gt;1,G8="",COUNTIF(ListeMessages,H8)&lt;&gt;1),"Saisie incomplète",IF(OR(AND(I8&lt;&gt;"",I8&lt;B8),AND(J8&lt;&gt;"",OR(I8="",J8&lt;I8)),B8&gt;Parametres!$B$7),"Dates à corriger",IF(AND(H8="Traité",OR(I8="",J8="")),"Dates manquantes",IF(AND(H8="Transmis",I8=""),"Transmission manquante",IF(AND(H8&lt;&gt;"Traité",Parametres!$B$7-B8&gt;1),"À relancer","OK")))))))</f>
        <v/>
      </c>
    </row>
    <row r="9" spans="1:22" ht="22" customHeight="1">
      <c r="A9" s="8"/>
      <c r="B9" s="8"/>
      <c r="C9" s="8"/>
      <c r="D9" s="8"/>
      <c r="E9" s="8"/>
      <c r="F9" s="9">
        <f>IF(E9="","",IFERROR(VLOOKUP(E9,Services!$A$2:$D$4,2,FALSE),"Service à corriger"))</f>
        <v/>
      </c>
      <c r="G9" s="8"/>
      <c r="H9" s="8"/>
      <c r="I9" s="8"/>
      <c r="J9" s="8"/>
      <c r="K9" s="9">
        <f>IF(A9="","",IF(COUNTIF($A$2:$A$301,A9)&gt;1,"DOUBLON",IF(OR(B9="",C9="",D9="",COUNTIF(ListeServices,E9)&lt;&gt;1,G9="",COUNTIF(ListeMessages,H9)&lt;&gt;1),"Saisie incomplète",IF(OR(AND(I9&lt;&gt;"",I9&lt;B9),AND(J9&lt;&gt;"",OR(I9="",J9&lt;I9)),B9&gt;Parametres!$B$7),"Dates à corriger",IF(AND(H9="Traité",OR(I9="",J9="")),"Dates manquantes",IF(AND(H9="Transmis",I9=""),"Transmission manquante",IF(AND(H9&lt;&gt;"Traité",Parametres!$B$7-B9&gt;1),"À relancer","OK")))))))</f>
        <v/>
      </c>
    </row>
    <row r="10" spans="1:22" ht="22" customHeight="1">
      <c r="A10" s="8"/>
      <c r="B10" s="8"/>
      <c r="C10" s="8"/>
      <c r="D10" s="8"/>
      <c r="E10" s="8"/>
      <c r="F10" s="9">
        <f>IF(E10="","",IFERROR(VLOOKUP(E10,Services!$A$2:$D$4,2,FALSE),"Service à corriger"))</f>
        <v/>
      </c>
      <c r="G10" s="8"/>
      <c r="H10" s="8"/>
      <c r="I10" s="8"/>
      <c r="J10" s="8"/>
      <c r="K10" s="9">
        <f>IF(A10="","",IF(COUNTIF($A$2:$A$301,A10)&gt;1,"DOUBLON",IF(OR(B10="",C10="",D10="",COUNTIF(ListeServices,E10)&lt;&gt;1,G10="",COUNTIF(ListeMessages,H10)&lt;&gt;1),"Saisie incomplète",IF(OR(AND(I10&lt;&gt;"",I10&lt;B10),AND(J10&lt;&gt;"",OR(I10="",J10&lt;I10)),B10&gt;Parametres!$B$7),"Dates à corriger",IF(AND(H10="Traité",OR(I10="",J10="")),"Dates manquantes",IF(AND(H10="Transmis",I10=""),"Transmission manquante",IF(AND(H10&lt;&gt;"Traité",Parametres!$B$7-B10&gt;1),"À relancer","OK")))))))</f>
        <v/>
      </c>
    </row>
    <row r="11" spans="1:22" ht="22" customHeight="1">
      <c r="A11" s="8"/>
      <c r="B11" s="8"/>
      <c r="C11" s="8"/>
      <c r="D11" s="8"/>
      <c r="E11" s="8"/>
      <c r="F11" s="9">
        <f>IF(E11="","",IFERROR(VLOOKUP(E11,Services!$A$2:$D$4,2,FALSE),"Service à corriger"))</f>
        <v/>
      </c>
      <c r="G11" s="8"/>
      <c r="H11" s="8"/>
      <c r="I11" s="8"/>
      <c r="J11" s="8"/>
      <c r="K11" s="9">
        <f>IF(A11="","",IF(COUNTIF($A$2:$A$301,A11)&gt;1,"DOUBLON",IF(OR(B11="",C11="",D11="",COUNTIF(ListeServices,E11)&lt;&gt;1,G11="",COUNTIF(ListeMessages,H11)&lt;&gt;1),"Saisie incomplète",IF(OR(AND(I11&lt;&gt;"",I11&lt;B11),AND(J11&lt;&gt;"",OR(I11="",J11&lt;I11)),B11&gt;Parametres!$B$7),"Dates à corriger",IF(AND(H11="Traité",OR(I11="",J11="")),"Dates manquantes",IF(AND(H11="Transmis",I11=""),"Transmission manquante",IF(AND(H11&lt;&gt;"Traité",Parametres!$B$7-B11&gt;1),"À relancer","OK")))))))</f>
        <v/>
      </c>
    </row>
    <row r="12" spans="1:22" ht="22" customHeight="1">
      <c r="A12" s="8"/>
      <c r="B12" s="8"/>
      <c r="C12" s="8"/>
      <c r="D12" s="8"/>
      <c r="E12" s="8"/>
      <c r="F12" s="9">
        <f>IF(E12="","",IFERROR(VLOOKUP(E12,Services!$A$2:$D$4,2,FALSE),"Service à corriger"))</f>
        <v/>
      </c>
      <c r="G12" s="8"/>
      <c r="H12" s="8"/>
      <c r="I12" s="8"/>
      <c r="J12" s="8"/>
      <c r="K12" s="9">
        <f>IF(A12="","",IF(COUNTIF($A$2:$A$301,A12)&gt;1,"DOUBLON",IF(OR(B12="",C12="",D12="",COUNTIF(ListeServices,E12)&lt;&gt;1,G12="",COUNTIF(ListeMessages,H12)&lt;&gt;1),"Saisie incomplète",IF(OR(AND(I12&lt;&gt;"",I12&lt;B12),AND(J12&lt;&gt;"",OR(I12="",J12&lt;I12)),B12&gt;Parametres!$B$7),"Dates à corriger",IF(AND(H12="Traité",OR(I12="",J12="")),"Dates manquantes",IF(AND(H12="Transmis",I12=""),"Transmission manquante",IF(AND(H12&lt;&gt;"Traité",Parametres!$B$7-B12&gt;1),"À relancer","OK")))))))</f>
        <v/>
      </c>
    </row>
    <row r="13" spans="1:22" ht="22" customHeight="1">
      <c r="A13" s="8"/>
      <c r="B13" s="8"/>
      <c r="C13" s="8"/>
      <c r="D13" s="8"/>
      <c r="E13" s="8"/>
      <c r="F13" s="9">
        <f>IF(E13="","",IFERROR(VLOOKUP(E13,Services!$A$2:$D$4,2,FALSE),"Service à corriger"))</f>
        <v/>
      </c>
      <c r="G13" s="8"/>
      <c r="H13" s="8"/>
      <c r="I13" s="8"/>
      <c r="J13" s="8"/>
      <c r="K13" s="9">
        <f>IF(A13="","",IF(COUNTIF($A$2:$A$301,A13)&gt;1,"DOUBLON",IF(OR(B13="",C13="",D13="",COUNTIF(ListeServices,E13)&lt;&gt;1,G13="",COUNTIF(ListeMessages,H13)&lt;&gt;1),"Saisie incomplète",IF(OR(AND(I13&lt;&gt;"",I13&lt;B13),AND(J13&lt;&gt;"",OR(I13="",J13&lt;I13)),B13&gt;Parametres!$B$7),"Dates à corriger",IF(AND(H13="Traité",OR(I13="",J13="")),"Dates manquantes",IF(AND(H13="Transmis",I13=""),"Transmission manquante",IF(AND(H13&lt;&gt;"Traité",Parametres!$B$7-B13&gt;1),"À relancer","OK")))))))</f>
        <v/>
      </c>
    </row>
    <row r="14" spans="1:22" ht="22" customHeight="1">
      <c r="A14" s="8"/>
      <c r="B14" s="8"/>
      <c r="C14" s="8"/>
      <c r="D14" s="8"/>
      <c r="E14" s="8"/>
      <c r="F14" s="9">
        <f>IF(E14="","",IFERROR(VLOOKUP(E14,Services!$A$2:$D$4,2,FALSE),"Service à corriger"))</f>
        <v/>
      </c>
      <c r="G14" s="8"/>
      <c r="H14" s="8"/>
      <c r="I14" s="8"/>
      <c r="J14" s="8"/>
      <c r="K14" s="9">
        <f>IF(A14="","",IF(COUNTIF($A$2:$A$301,A14)&gt;1,"DOUBLON",IF(OR(B14="",C14="",D14="",COUNTIF(ListeServices,E14)&lt;&gt;1,G14="",COUNTIF(ListeMessages,H14)&lt;&gt;1),"Saisie incomplète",IF(OR(AND(I14&lt;&gt;"",I14&lt;B14),AND(J14&lt;&gt;"",OR(I14="",J14&lt;I14)),B14&gt;Parametres!$B$7),"Dates à corriger",IF(AND(H14="Traité",OR(I14="",J14="")),"Dates manquantes",IF(AND(H14="Transmis",I14=""),"Transmission manquante",IF(AND(H14&lt;&gt;"Traité",Parametres!$B$7-B14&gt;1),"À relancer","OK")))))))</f>
        <v/>
      </c>
    </row>
    <row r="15" spans="1:22" ht="22" customHeight="1">
      <c r="A15" s="8"/>
      <c r="B15" s="8"/>
      <c r="C15" s="8"/>
      <c r="D15" s="8"/>
      <c r="E15" s="8"/>
      <c r="F15" s="9">
        <f>IF(E15="","",IFERROR(VLOOKUP(E15,Services!$A$2:$D$4,2,FALSE),"Service à corriger"))</f>
        <v/>
      </c>
      <c r="G15" s="8"/>
      <c r="H15" s="8"/>
      <c r="I15" s="8"/>
      <c r="J15" s="8"/>
      <c r="K15" s="9">
        <f>IF(A15="","",IF(COUNTIF($A$2:$A$301,A15)&gt;1,"DOUBLON",IF(OR(B15="",C15="",D15="",COUNTIF(ListeServices,E15)&lt;&gt;1,G15="",COUNTIF(ListeMessages,H15)&lt;&gt;1),"Saisie incomplète",IF(OR(AND(I15&lt;&gt;"",I15&lt;B15),AND(J15&lt;&gt;"",OR(I15="",J15&lt;I15)),B15&gt;Parametres!$B$7),"Dates à corriger",IF(AND(H15="Traité",OR(I15="",J15="")),"Dates manquantes",IF(AND(H15="Transmis",I15=""),"Transmission manquante",IF(AND(H15&lt;&gt;"Traité",Parametres!$B$7-B15&gt;1),"À relancer","OK")))))))</f>
        <v/>
      </c>
    </row>
    <row r="16" spans="1:22" ht="22" customHeight="1">
      <c r="A16" s="8"/>
      <c r="B16" s="8"/>
      <c r="C16" s="8"/>
      <c r="D16" s="8"/>
      <c r="E16" s="8"/>
      <c r="F16" s="9">
        <f>IF(E16="","",IFERROR(VLOOKUP(E16,Services!$A$2:$D$4,2,FALSE),"Service à corriger"))</f>
        <v/>
      </c>
      <c r="G16" s="8"/>
      <c r="H16" s="8"/>
      <c r="I16" s="8"/>
      <c r="J16" s="8"/>
      <c r="K16" s="9">
        <f>IF(A16="","",IF(COUNTIF($A$2:$A$301,A16)&gt;1,"DOUBLON",IF(OR(B16="",C16="",D16="",COUNTIF(ListeServices,E16)&lt;&gt;1,G16="",COUNTIF(ListeMessages,H16)&lt;&gt;1),"Saisie incomplète",IF(OR(AND(I16&lt;&gt;"",I16&lt;B16),AND(J16&lt;&gt;"",OR(I16="",J16&lt;I16)),B16&gt;Parametres!$B$7),"Dates à corriger",IF(AND(H16="Traité",OR(I16="",J16="")),"Dates manquantes",IF(AND(H16="Transmis",I16=""),"Transmission manquante",IF(AND(H16&lt;&gt;"Traité",Parametres!$B$7-B16&gt;1),"À relancer","OK")))))))</f>
        <v/>
      </c>
    </row>
    <row r="17" spans="1:11" ht="22" customHeight="1">
      <c r="A17" s="8"/>
      <c r="B17" s="8"/>
      <c r="C17" s="8"/>
      <c r="D17" s="8"/>
      <c r="E17" s="8"/>
      <c r="F17" s="9">
        <f>IF(E17="","",IFERROR(VLOOKUP(E17,Services!$A$2:$D$4,2,FALSE),"Service à corriger"))</f>
        <v/>
      </c>
      <c r="G17" s="8"/>
      <c r="H17" s="8"/>
      <c r="I17" s="8"/>
      <c r="J17" s="8"/>
      <c r="K17" s="9">
        <f>IF(A17="","",IF(COUNTIF($A$2:$A$301,A17)&gt;1,"DOUBLON",IF(OR(B17="",C17="",D17="",COUNTIF(ListeServices,E17)&lt;&gt;1,G17="",COUNTIF(ListeMessages,H17)&lt;&gt;1),"Saisie incomplète",IF(OR(AND(I17&lt;&gt;"",I17&lt;B17),AND(J17&lt;&gt;"",OR(I17="",J17&lt;I17)),B17&gt;Parametres!$B$7),"Dates à corriger",IF(AND(H17="Traité",OR(I17="",J17="")),"Dates manquantes",IF(AND(H17="Transmis",I17=""),"Transmission manquante",IF(AND(H17&lt;&gt;"Traité",Parametres!$B$7-B17&gt;1),"À relancer","OK")))))))</f>
        <v/>
      </c>
    </row>
    <row r="18" spans="1:11" ht="22" customHeight="1">
      <c r="A18" s="8"/>
      <c r="B18" s="8"/>
      <c r="C18" s="8"/>
      <c r="D18" s="8"/>
      <c r="E18" s="8"/>
      <c r="F18" s="9">
        <f>IF(E18="","",IFERROR(VLOOKUP(E18,Services!$A$2:$D$4,2,FALSE),"Service à corriger"))</f>
        <v/>
      </c>
      <c r="G18" s="8"/>
      <c r="H18" s="8"/>
      <c r="I18" s="8"/>
      <c r="J18" s="8"/>
      <c r="K18" s="9">
        <f>IF(A18="","",IF(COUNTIF($A$2:$A$301,A18)&gt;1,"DOUBLON",IF(OR(B18="",C18="",D18="",COUNTIF(ListeServices,E18)&lt;&gt;1,G18="",COUNTIF(ListeMessages,H18)&lt;&gt;1),"Saisie incomplète",IF(OR(AND(I18&lt;&gt;"",I18&lt;B18),AND(J18&lt;&gt;"",OR(I18="",J18&lt;I18)),B18&gt;Parametres!$B$7),"Dates à corriger",IF(AND(H18="Traité",OR(I18="",J18="")),"Dates manquantes",IF(AND(H18="Transmis",I18=""),"Transmission manquante",IF(AND(H18&lt;&gt;"Traité",Parametres!$B$7-B18&gt;1),"À relancer","OK")))))))</f>
        <v/>
      </c>
    </row>
    <row r="19" spans="1:11" ht="22" customHeight="1">
      <c r="A19" s="8"/>
      <c r="B19" s="8"/>
      <c r="C19" s="8"/>
      <c r="D19" s="8"/>
      <c r="E19" s="8"/>
      <c r="F19" s="9">
        <f>IF(E19="","",IFERROR(VLOOKUP(E19,Services!$A$2:$D$4,2,FALSE),"Service à corriger"))</f>
        <v/>
      </c>
      <c r="G19" s="8"/>
      <c r="H19" s="8"/>
      <c r="I19" s="8"/>
      <c r="J19" s="8"/>
      <c r="K19" s="9">
        <f>IF(A19="","",IF(COUNTIF($A$2:$A$301,A19)&gt;1,"DOUBLON",IF(OR(B19="",C19="",D19="",COUNTIF(ListeServices,E19)&lt;&gt;1,G19="",COUNTIF(ListeMessages,H19)&lt;&gt;1),"Saisie incomplète",IF(OR(AND(I19&lt;&gt;"",I19&lt;B19),AND(J19&lt;&gt;"",OR(I19="",J19&lt;I19)),B19&gt;Parametres!$B$7),"Dates à corriger",IF(AND(H19="Traité",OR(I19="",J19="")),"Dates manquantes",IF(AND(H19="Transmis",I19=""),"Transmission manquante",IF(AND(H19&lt;&gt;"Traité",Parametres!$B$7-B19&gt;1),"À relancer","OK")))))))</f>
        <v/>
      </c>
    </row>
    <row r="20" spans="1:11" ht="22" customHeight="1">
      <c r="A20" s="8"/>
      <c r="B20" s="8"/>
      <c r="C20" s="8"/>
      <c r="D20" s="8"/>
      <c r="E20" s="8"/>
      <c r="F20" s="9">
        <f>IF(E20="","",IFERROR(VLOOKUP(E20,Services!$A$2:$D$4,2,FALSE),"Service à corriger"))</f>
        <v/>
      </c>
      <c r="G20" s="8"/>
      <c r="H20" s="8"/>
      <c r="I20" s="8"/>
      <c r="J20" s="8"/>
      <c r="K20" s="9">
        <f>IF(A20="","",IF(COUNTIF($A$2:$A$301,A20)&gt;1,"DOUBLON",IF(OR(B20="",C20="",D20="",COUNTIF(ListeServices,E20)&lt;&gt;1,G20="",COUNTIF(ListeMessages,H20)&lt;&gt;1),"Saisie incomplète",IF(OR(AND(I20&lt;&gt;"",I20&lt;B20),AND(J20&lt;&gt;"",OR(I20="",J20&lt;I20)),B20&gt;Parametres!$B$7),"Dates à corriger",IF(AND(H20="Traité",OR(I20="",J20="")),"Dates manquantes",IF(AND(H20="Transmis",I20=""),"Transmission manquante",IF(AND(H20&lt;&gt;"Traité",Parametres!$B$7-B20&gt;1),"À relancer","OK")))))))</f>
        <v/>
      </c>
    </row>
    <row r="21" spans="1:11" ht="22" customHeight="1">
      <c r="A21" s="8"/>
      <c r="B21" s="8"/>
      <c r="C21" s="8"/>
      <c r="D21" s="8"/>
      <c r="E21" s="8"/>
      <c r="F21" s="9">
        <f>IF(E21="","",IFERROR(VLOOKUP(E21,Services!$A$2:$D$4,2,FALSE),"Service à corriger"))</f>
        <v/>
      </c>
      <c r="G21" s="8"/>
      <c r="H21" s="8"/>
      <c r="I21" s="8"/>
      <c r="J21" s="8"/>
      <c r="K21" s="9">
        <f>IF(A21="","",IF(COUNTIF($A$2:$A$301,A21)&gt;1,"DOUBLON",IF(OR(B21="",C21="",D21="",COUNTIF(ListeServices,E21)&lt;&gt;1,G21="",COUNTIF(ListeMessages,H21)&lt;&gt;1),"Saisie incomplète",IF(OR(AND(I21&lt;&gt;"",I21&lt;B21),AND(J21&lt;&gt;"",OR(I21="",J21&lt;I21)),B21&gt;Parametres!$B$7),"Dates à corriger",IF(AND(H21="Traité",OR(I21="",J21="")),"Dates manquantes",IF(AND(H21="Transmis",I21=""),"Transmission manquante",IF(AND(H21&lt;&gt;"Traité",Parametres!$B$7-B21&gt;1),"À relancer","OK")))))))</f>
        <v/>
      </c>
    </row>
    <row r="22" spans="1:11" ht="22" customHeight="1">
      <c r="A22" s="8"/>
      <c r="B22" s="8"/>
      <c r="C22" s="8"/>
      <c r="D22" s="8"/>
      <c r="E22" s="8"/>
      <c r="F22" s="9">
        <f>IF(E22="","",IFERROR(VLOOKUP(E22,Services!$A$2:$D$4,2,FALSE),"Service à corriger"))</f>
        <v/>
      </c>
      <c r="G22" s="8"/>
      <c r="H22" s="8"/>
      <c r="I22" s="8"/>
      <c r="J22" s="8"/>
      <c r="K22" s="9">
        <f>IF(A22="","",IF(COUNTIF($A$2:$A$301,A22)&gt;1,"DOUBLON",IF(OR(B22="",C22="",D22="",COUNTIF(ListeServices,E22)&lt;&gt;1,G22="",COUNTIF(ListeMessages,H22)&lt;&gt;1),"Saisie incomplète",IF(OR(AND(I22&lt;&gt;"",I22&lt;B22),AND(J22&lt;&gt;"",OR(I22="",J22&lt;I22)),B22&gt;Parametres!$B$7),"Dates à corriger",IF(AND(H22="Traité",OR(I22="",J22="")),"Dates manquantes",IF(AND(H22="Transmis",I22=""),"Transmission manquante",IF(AND(H22&lt;&gt;"Traité",Parametres!$B$7-B22&gt;1),"À relancer","OK")))))))</f>
        <v/>
      </c>
    </row>
    <row r="23" spans="1:11" ht="22" customHeight="1">
      <c r="A23" s="8"/>
      <c r="B23" s="8"/>
      <c r="C23" s="8"/>
      <c r="D23" s="8"/>
      <c r="E23" s="8"/>
      <c r="F23" s="9">
        <f>IF(E23="","",IFERROR(VLOOKUP(E23,Services!$A$2:$D$4,2,FALSE),"Service à corriger"))</f>
        <v/>
      </c>
      <c r="G23" s="8"/>
      <c r="H23" s="8"/>
      <c r="I23" s="8"/>
      <c r="J23" s="8"/>
      <c r="K23" s="9">
        <f>IF(A23="","",IF(COUNTIF($A$2:$A$301,A23)&gt;1,"DOUBLON",IF(OR(B23="",C23="",D23="",COUNTIF(ListeServices,E23)&lt;&gt;1,G23="",COUNTIF(ListeMessages,H23)&lt;&gt;1),"Saisie incomplète",IF(OR(AND(I23&lt;&gt;"",I23&lt;B23),AND(J23&lt;&gt;"",OR(I23="",J23&lt;I23)),B23&gt;Parametres!$B$7),"Dates à corriger",IF(AND(H23="Traité",OR(I23="",J23="")),"Dates manquantes",IF(AND(H23="Transmis",I23=""),"Transmission manquante",IF(AND(H23&lt;&gt;"Traité",Parametres!$B$7-B23&gt;1),"À relancer","OK")))))))</f>
        <v/>
      </c>
    </row>
    <row r="24" spans="1:11" ht="22" customHeight="1">
      <c r="A24" s="8"/>
      <c r="B24" s="8"/>
      <c r="C24" s="8"/>
      <c r="D24" s="8"/>
      <c r="E24" s="8"/>
      <c r="F24" s="9">
        <f>IF(E24="","",IFERROR(VLOOKUP(E24,Services!$A$2:$D$4,2,FALSE),"Service à corriger"))</f>
        <v/>
      </c>
      <c r="G24" s="8"/>
      <c r="H24" s="8"/>
      <c r="I24" s="8"/>
      <c r="J24" s="8"/>
      <c r="K24" s="9">
        <f>IF(A24="","",IF(COUNTIF($A$2:$A$301,A24)&gt;1,"DOUBLON",IF(OR(B24="",C24="",D24="",COUNTIF(ListeServices,E24)&lt;&gt;1,G24="",COUNTIF(ListeMessages,H24)&lt;&gt;1),"Saisie incomplète",IF(OR(AND(I24&lt;&gt;"",I24&lt;B24),AND(J24&lt;&gt;"",OR(I24="",J24&lt;I24)),B24&gt;Parametres!$B$7),"Dates à corriger",IF(AND(H24="Traité",OR(I24="",J24="")),"Dates manquantes",IF(AND(H24="Transmis",I24=""),"Transmission manquante",IF(AND(H24&lt;&gt;"Traité",Parametres!$B$7-B24&gt;1),"À relancer","OK")))))))</f>
        <v/>
      </c>
    </row>
    <row r="25" spans="1:11" ht="22" customHeight="1">
      <c r="A25" s="8"/>
      <c r="B25" s="8"/>
      <c r="C25" s="8"/>
      <c r="D25" s="8"/>
      <c r="E25" s="8"/>
      <c r="F25" s="9">
        <f>IF(E25="","",IFERROR(VLOOKUP(E25,Services!$A$2:$D$4,2,FALSE),"Service à corriger"))</f>
        <v/>
      </c>
      <c r="G25" s="8"/>
      <c r="H25" s="8"/>
      <c r="I25" s="8"/>
      <c r="J25" s="8"/>
      <c r="K25" s="9">
        <f>IF(A25="","",IF(COUNTIF($A$2:$A$301,A25)&gt;1,"DOUBLON",IF(OR(B25="",C25="",D25="",COUNTIF(ListeServices,E25)&lt;&gt;1,G25="",COUNTIF(ListeMessages,H25)&lt;&gt;1),"Saisie incomplète",IF(OR(AND(I25&lt;&gt;"",I25&lt;B25),AND(J25&lt;&gt;"",OR(I25="",J25&lt;I25)),B25&gt;Parametres!$B$7),"Dates à corriger",IF(AND(H25="Traité",OR(I25="",J25="")),"Dates manquantes",IF(AND(H25="Transmis",I25=""),"Transmission manquante",IF(AND(H25&lt;&gt;"Traité",Parametres!$B$7-B25&gt;1),"À relancer","OK")))))))</f>
        <v/>
      </c>
    </row>
    <row r="26" spans="1:11" ht="22" customHeight="1">
      <c r="A26" s="8"/>
      <c r="B26" s="8"/>
      <c r="C26" s="8"/>
      <c r="D26" s="8"/>
      <c r="E26" s="8"/>
      <c r="F26" s="9">
        <f>IF(E26="","",IFERROR(VLOOKUP(E26,Services!$A$2:$D$4,2,FALSE),"Service à corriger"))</f>
        <v/>
      </c>
      <c r="G26" s="8"/>
      <c r="H26" s="8"/>
      <c r="I26" s="8"/>
      <c r="J26" s="8"/>
      <c r="K26" s="9">
        <f>IF(A26="","",IF(COUNTIF($A$2:$A$301,A26)&gt;1,"DOUBLON",IF(OR(B26="",C26="",D26="",COUNTIF(ListeServices,E26)&lt;&gt;1,G26="",COUNTIF(ListeMessages,H26)&lt;&gt;1),"Saisie incomplète",IF(OR(AND(I26&lt;&gt;"",I26&lt;B26),AND(J26&lt;&gt;"",OR(I26="",J26&lt;I26)),B26&gt;Parametres!$B$7),"Dates à corriger",IF(AND(H26="Traité",OR(I26="",J26="")),"Dates manquantes",IF(AND(H26="Transmis",I26=""),"Transmission manquante",IF(AND(H26&lt;&gt;"Traité",Parametres!$B$7-B26&gt;1),"À relancer","OK")))))))</f>
        <v/>
      </c>
    </row>
    <row r="27" spans="1:11" ht="22" customHeight="1">
      <c r="A27" s="8"/>
      <c r="B27" s="8"/>
      <c r="C27" s="8"/>
      <c r="D27" s="8"/>
      <c r="E27" s="8"/>
      <c r="F27" s="9">
        <f>IF(E27="","",IFERROR(VLOOKUP(E27,Services!$A$2:$D$4,2,FALSE),"Service à corriger"))</f>
        <v/>
      </c>
      <c r="G27" s="8"/>
      <c r="H27" s="8"/>
      <c r="I27" s="8"/>
      <c r="J27" s="8"/>
      <c r="K27" s="9">
        <f>IF(A27="","",IF(COUNTIF($A$2:$A$301,A27)&gt;1,"DOUBLON",IF(OR(B27="",C27="",D27="",COUNTIF(ListeServices,E27)&lt;&gt;1,G27="",COUNTIF(ListeMessages,H27)&lt;&gt;1),"Saisie incomplète",IF(OR(AND(I27&lt;&gt;"",I27&lt;B27),AND(J27&lt;&gt;"",OR(I27="",J27&lt;I27)),B27&gt;Parametres!$B$7),"Dates à corriger",IF(AND(H27="Traité",OR(I27="",J27="")),"Dates manquantes",IF(AND(H27="Transmis",I27=""),"Transmission manquante",IF(AND(H27&lt;&gt;"Traité",Parametres!$B$7-B27&gt;1),"À relancer","OK")))))))</f>
        <v/>
      </c>
    </row>
    <row r="28" spans="1:11" ht="22" customHeight="1">
      <c r="A28" s="8"/>
      <c r="B28" s="8"/>
      <c r="C28" s="8"/>
      <c r="D28" s="8"/>
      <c r="E28" s="8"/>
      <c r="F28" s="9">
        <f>IF(E28="","",IFERROR(VLOOKUP(E28,Services!$A$2:$D$4,2,FALSE),"Service à corriger"))</f>
        <v/>
      </c>
      <c r="G28" s="8"/>
      <c r="H28" s="8"/>
      <c r="I28" s="8"/>
      <c r="J28" s="8"/>
      <c r="K28" s="9">
        <f>IF(A28="","",IF(COUNTIF($A$2:$A$301,A28)&gt;1,"DOUBLON",IF(OR(B28="",C28="",D28="",COUNTIF(ListeServices,E28)&lt;&gt;1,G28="",COUNTIF(ListeMessages,H28)&lt;&gt;1),"Saisie incomplète",IF(OR(AND(I28&lt;&gt;"",I28&lt;B28),AND(J28&lt;&gt;"",OR(I28="",J28&lt;I28)),B28&gt;Parametres!$B$7),"Dates à corriger",IF(AND(H28="Traité",OR(I28="",J28="")),"Dates manquantes",IF(AND(H28="Transmis",I28=""),"Transmission manquante",IF(AND(H28&lt;&gt;"Traité",Parametres!$B$7-B28&gt;1),"À relancer","OK")))))))</f>
        <v/>
      </c>
    </row>
    <row r="29" spans="1:11" ht="22" customHeight="1">
      <c r="A29" s="8"/>
      <c r="B29" s="8"/>
      <c r="C29" s="8"/>
      <c r="D29" s="8"/>
      <c r="E29" s="8"/>
      <c r="F29" s="9">
        <f>IF(E29="","",IFERROR(VLOOKUP(E29,Services!$A$2:$D$4,2,FALSE),"Service à corriger"))</f>
        <v/>
      </c>
      <c r="G29" s="8"/>
      <c r="H29" s="8"/>
      <c r="I29" s="8"/>
      <c r="J29" s="8"/>
      <c r="K29" s="9">
        <f>IF(A29="","",IF(COUNTIF($A$2:$A$301,A29)&gt;1,"DOUBLON",IF(OR(B29="",C29="",D29="",COUNTIF(ListeServices,E29)&lt;&gt;1,G29="",COUNTIF(ListeMessages,H29)&lt;&gt;1),"Saisie incomplète",IF(OR(AND(I29&lt;&gt;"",I29&lt;B29),AND(J29&lt;&gt;"",OR(I29="",J29&lt;I29)),B29&gt;Parametres!$B$7),"Dates à corriger",IF(AND(H29="Traité",OR(I29="",J29="")),"Dates manquantes",IF(AND(H29="Transmis",I29=""),"Transmission manquante",IF(AND(H29&lt;&gt;"Traité",Parametres!$B$7-B29&gt;1),"À relancer","OK")))))))</f>
        <v/>
      </c>
    </row>
    <row r="30" spans="1:11" ht="22" customHeight="1">
      <c r="A30" s="8"/>
      <c r="B30" s="8"/>
      <c r="C30" s="8"/>
      <c r="D30" s="8"/>
      <c r="E30" s="8"/>
      <c r="F30" s="9">
        <f>IF(E30="","",IFERROR(VLOOKUP(E30,Services!$A$2:$D$4,2,FALSE),"Service à corriger"))</f>
        <v/>
      </c>
      <c r="G30" s="8"/>
      <c r="H30" s="8"/>
      <c r="I30" s="8"/>
      <c r="J30" s="8"/>
      <c r="K30" s="9">
        <f>IF(A30="","",IF(COUNTIF($A$2:$A$301,A30)&gt;1,"DOUBLON",IF(OR(B30="",C30="",D30="",COUNTIF(ListeServices,E30)&lt;&gt;1,G30="",COUNTIF(ListeMessages,H30)&lt;&gt;1),"Saisie incomplète",IF(OR(AND(I30&lt;&gt;"",I30&lt;B30),AND(J30&lt;&gt;"",OR(I30="",J30&lt;I30)),B30&gt;Parametres!$B$7),"Dates à corriger",IF(AND(H30="Traité",OR(I30="",J30="")),"Dates manquantes",IF(AND(H30="Transmis",I30=""),"Transmission manquante",IF(AND(H30&lt;&gt;"Traité",Parametres!$B$7-B30&gt;1),"À relancer","OK")))))))</f>
        <v/>
      </c>
    </row>
    <row r="31" spans="1:11" ht="22" customHeight="1">
      <c r="A31" s="8"/>
      <c r="B31" s="8"/>
      <c r="C31" s="8"/>
      <c r="D31" s="8"/>
      <c r="E31" s="8"/>
      <c r="F31" s="9">
        <f>IF(E31="","",IFERROR(VLOOKUP(E31,Services!$A$2:$D$4,2,FALSE),"Service à corriger"))</f>
        <v/>
      </c>
      <c r="G31" s="8"/>
      <c r="H31" s="8"/>
      <c r="I31" s="8"/>
      <c r="J31" s="8"/>
      <c r="K31" s="9">
        <f>IF(A31="","",IF(COUNTIF($A$2:$A$301,A31)&gt;1,"DOUBLON",IF(OR(B31="",C31="",D31="",COUNTIF(ListeServices,E31)&lt;&gt;1,G31="",COUNTIF(ListeMessages,H31)&lt;&gt;1),"Saisie incomplète",IF(OR(AND(I31&lt;&gt;"",I31&lt;B31),AND(J31&lt;&gt;"",OR(I31="",J31&lt;I31)),B31&gt;Parametres!$B$7),"Dates à corriger",IF(AND(H31="Traité",OR(I31="",J31="")),"Dates manquantes",IF(AND(H31="Transmis",I31=""),"Transmission manquante",IF(AND(H31&lt;&gt;"Traité",Parametres!$B$7-B31&gt;1),"À relancer","OK")))))))</f>
        <v/>
      </c>
    </row>
    <row r="32" spans="1:11" ht="22" customHeight="1">
      <c r="A32" s="8"/>
      <c r="B32" s="8"/>
      <c r="C32" s="8"/>
      <c r="D32" s="8"/>
      <c r="E32" s="8"/>
      <c r="F32" s="9">
        <f>IF(E32="","",IFERROR(VLOOKUP(E32,Services!$A$2:$D$4,2,FALSE),"Service à corriger"))</f>
        <v/>
      </c>
      <c r="G32" s="8"/>
      <c r="H32" s="8"/>
      <c r="I32" s="8"/>
      <c r="J32" s="8"/>
      <c r="K32" s="9">
        <f>IF(A32="","",IF(COUNTIF($A$2:$A$301,A32)&gt;1,"DOUBLON",IF(OR(B32="",C32="",D32="",COUNTIF(ListeServices,E32)&lt;&gt;1,G32="",COUNTIF(ListeMessages,H32)&lt;&gt;1),"Saisie incomplète",IF(OR(AND(I32&lt;&gt;"",I32&lt;B32),AND(J32&lt;&gt;"",OR(I32="",J32&lt;I32)),B32&gt;Parametres!$B$7),"Dates à corriger",IF(AND(H32="Traité",OR(I32="",J32="")),"Dates manquantes",IF(AND(H32="Transmis",I32=""),"Transmission manquante",IF(AND(H32&lt;&gt;"Traité",Parametres!$B$7-B32&gt;1),"À relancer","OK")))))))</f>
        <v/>
      </c>
    </row>
    <row r="33" spans="1:11" ht="22" customHeight="1">
      <c r="A33" s="8"/>
      <c r="B33" s="8"/>
      <c r="C33" s="8"/>
      <c r="D33" s="8"/>
      <c r="E33" s="8"/>
      <c r="F33" s="9">
        <f>IF(E33="","",IFERROR(VLOOKUP(E33,Services!$A$2:$D$4,2,FALSE),"Service à corriger"))</f>
        <v/>
      </c>
      <c r="G33" s="8"/>
      <c r="H33" s="8"/>
      <c r="I33" s="8"/>
      <c r="J33" s="8"/>
      <c r="K33" s="9">
        <f>IF(A33="","",IF(COUNTIF($A$2:$A$301,A33)&gt;1,"DOUBLON",IF(OR(B33="",C33="",D33="",COUNTIF(ListeServices,E33)&lt;&gt;1,G33="",COUNTIF(ListeMessages,H33)&lt;&gt;1),"Saisie incomplète",IF(OR(AND(I33&lt;&gt;"",I33&lt;B33),AND(J33&lt;&gt;"",OR(I33="",J33&lt;I33)),B33&gt;Parametres!$B$7),"Dates à corriger",IF(AND(H33="Traité",OR(I33="",J33="")),"Dates manquantes",IF(AND(H33="Transmis",I33=""),"Transmission manquante",IF(AND(H33&lt;&gt;"Traité",Parametres!$B$7-B33&gt;1),"À relancer","OK")))))))</f>
        <v/>
      </c>
    </row>
    <row r="34" spans="1:11" ht="22" customHeight="1">
      <c r="A34" s="8"/>
      <c r="B34" s="8"/>
      <c r="C34" s="8"/>
      <c r="D34" s="8"/>
      <c r="E34" s="8"/>
      <c r="F34" s="9">
        <f>IF(E34="","",IFERROR(VLOOKUP(E34,Services!$A$2:$D$4,2,FALSE),"Service à corriger"))</f>
        <v/>
      </c>
      <c r="G34" s="8"/>
      <c r="H34" s="8"/>
      <c r="I34" s="8"/>
      <c r="J34" s="8"/>
      <c r="K34" s="9">
        <f>IF(A34="","",IF(COUNTIF($A$2:$A$301,A34)&gt;1,"DOUBLON",IF(OR(B34="",C34="",D34="",COUNTIF(ListeServices,E34)&lt;&gt;1,G34="",COUNTIF(ListeMessages,H34)&lt;&gt;1),"Saisie incomplète",IF(OR(AND(I34&lt;&gt;"",I34&lt;B34),AND(J34&lt;&gt;"",OR(I34="",J34&lt;I34)),B34&gt;Parametres!$B$7),"Dates à corriger",IF(AND(H34="Traité",OR(I34="",J34="")),"Dates manquantes",IF(AND(H34="Transmis",I34=""),"Transmission manquante",IF(AND(H34&lt;&gt;"Traité",Parametres!$B$7-B34&gt;1),"À relancer","OK")))))))</f>
        <v/>
      </c>
    </row>
    <row r="35" spans="1:11" ht="22" customHeight="1">
      <c r="A35" s="8"/>
      <c r="B35" s="8"/>
      <c r="C35" s="8"/>
      <c r="D35" s="8"/>
      <c r="E35" s="8"/>
      <c r="F35" s="9">
        <f>IF(E35="","",IFERROR(VLOOKUP(E35,Services!$A$2:$D$4,2,FALSE),"Service à corriger"))</f>
        <v/>
      </c>
      <c r="G35" s="8"/>
      <c r="H35" s="8"/>
      <c r="I35" s="8"/>
      <c r="J35" s="8"/>
      <c r="K35" s="9">
        <f>IF(A35="","",IF(COUNTIF($A$2:$A$301,A35)&gt;1,"DOUBLON",IF(OR(B35="",C35="",D35="",COUNTIF(ListeServices,E35)&lt;&gt;1,G35="",COUNTIF(ListeMessages,H35)&lt;&gt;1),"Saisie incomplète",IF(OR(AND(I35&lt;&gt;"",I35&lt;B35),AND(J35&lt;&gt;"",OR(I35="",J35&lt;I35)),B35&gt;Parametres!$B$7),"Dates à corriger",IF(AND(H35="Traité",OR(I35="",J35="")),"Dates manquantes",IF(AND(H35="Transmis",I35=""),"Transmission manquante",IF(AND(H35&lt;&gt;"Traité",Parametres!$B$7-B35&gt;1),"À relancer","OK")))))))</f>
        <v/>
      </c>
    </row>
    <row r="36" spans="1:11" ht="22" customHeight="1">
      <c r="A36" s="8"/>
      <c r="B36" s="8"/>
      <c r="C36" s="8"/>
      <c r="D36" s="8"/>
      <c r="E36" s="8"/>
      <c r="F36" s="9">
        <f>IF(E36="","",IFERROR(VLOOKUP(E36,Services!$A$2:$D$4,2,FALSE),"Service à corriger"))</f>
        <v/>
      </c>
      <c r="G36" s="8"/>
      <c r="H36" s="8"/>
      <c r="I36" s="8"/>
      <c r="J36" s="8"/>
      <c r="K36" s="9">
        <f>IF(A36="","",IF(COUNTIF($A$2:$A$301,A36)&gt;1,"DOUBLON",IF(OR(B36="",C36="",D36="",COUNTIF(ListeServices,E36)&lt;&gt;1,G36="",COUNTIF(ListeMessages,H36)&lt;&gt;1),"Saisie incomplète",IF(OR(AND(I36&lt;&gt;"",I36&lt;B36),AND(J36&lt;&gt;"",OR(I36="",J36&lt;I36)),B36&gt;Parametres!$B$7),"Dates à corriger",IF(AND(H36="Traité",OR(I36="",J36="")),"Dates manquantes",IF(AND(H36="Transmis",I36=""),"Transmission manquante",IF(AND(H36&lt;&gt;"Traité",Parametres!$B$7-B36&gt;1),"À relancer","OK")))))))</f>
        <v/>
      </c>
    </row>
    <row r="37" spans="1:11" ht="22" customHeight="1">
      <c r="A37" s="8"/>
      <c r="B37" s="8"/>
      <c r="C37" s="8"/>
      <c r="D37" s="8"/>
      <c r="E37" s="8"/>
      <c r="F37" s="9">
        <f>IF(E37="","",IFERROR(VLOOKUP(E37,Services!$A$2:$D$4,2,FALSE),"Service à corriger"))</f>
        <v/>
      </c>
      <c r="G37" s="8"/>
      <c r="H37" s="8"/>
      <c r="I37" s="8"/>
      <c r="J37" s="8"/>
      <c r="K37" s="9">
        <f>IF(A37="","",IF(COUNTIF($A$2:$A$301,A37)&gt;1,"DOUBLON",IF(OR(B37="",C37="",D37="",COUNTIF(ListeServices,E37)&lt;&gt;1,G37="",COUNTIF(ListeMessages,H37)&lt;&gt;1),"Saisie incomplète",IF(OR(AND(I37&lt;&gt;"",I37&lt;B37),AND(J37&lt;&gt;"",OR(I37="",J37&lt;I37)),B37&gt;Parametres!$B$7),"Dates à corriger",IF(AND(H37="Traité",OR(I37="",J37="")),"Dates manquantes",IF(AND(H37="Transmis",I37=""),"Transmission manquante",IF(AND(H37&lt;&gt;"Traité",Parametres!$B$7-B37&gt;1),"À relancer","OK")))))))</f>
        <v/>
      </c>
    </row>
    <row r="38" spans="1:11" ht="22" customHeight="1">
      <c r="A38" s="8"/>
      <c r="B38" s="8"/>
      <c r="C38" s="8"/>
      <c r="D38" s="8"/>
      <c r="E38" s="8"/>
      <c r="F38" s="9">
        <f>IF(E38="","",IFERROR(VLOOKUP(E38,Services!$A$2:$D$4,2,FALSE),"Service à corriger"))</f>
        <v/>
      </c>
      <c r="G38" s="8"/>
      <c r="H38" s="8"/>
      <c r="I38" s="8"/>
      <c r="J38" s="8"/>
      <c r="K38" s="9">
        <f>IF(A38="","",IF(COUNTIF($A$2:$A$301,A38)&gt;1,"DOUBLON",IF(OR(B38="",C38="",D38="",COUNTIF(ListeServices,E38)&lt;&gt;1,G38="",COUNTIF(ListeMessages,H38)&lt;&gt;1),"Saisie incomplète",IF(OR(AND(I38&lt;&gt;"",I38&lt;B38),AND(J38&lt;&gt;"",OR(I38="",J38&lt;I38)),B38&gt;Parametres!$B$7),"Dates à corriger",IF(AND(H38="Traité",OR(I38="",J38="")),"Dates manquantes",IF(AND(H38="Transmis",I38=""),"Transmission manquante",IF(AND(H38&lt;&gt;"Traité",Parametres!$B$7-B38&gt;1),"À relancer","OK")))))))</f>
        <v/>
      </c>
    </row>
    <row r="39" spans="1:11" ht="22" customHeight="1">
      <c r="A39" s="8"/>
      <c r="B39" s="8"/>
      <c r="C39" s="8"/>
      <c r="D39" s="8"/>
      <c r="E39" s="8"/>
      <c r="F39" s="9">
        <f>IF(E39="","",IFERROR(VLOOKUP(E39,Services!$A$2:$D$4,2,FALSE),"Service à corriger"))</f>
        <v/>
      </c>
      <c r="G39" s="8"/>
      <c r="H39" s="8"/>
      <c r="I39" s="8"/>
      <c r="J39" s="8"/>
      <c r="K39" s="9">
        <f>IF(A39="","",IF(COUNTIF($A$2:$A$301,A39)&gt;1,"DOUBLON",IF(OR(B39="",C39="",D39="",COUNTIF(ListeServices,E39)&lt;&gt;1,G39="",COUNTIF(ListeMessages,H39)&lt;&gt;1),"Saisie incomplète",IF(OR(AND(I39&lt;&gt;"",I39&lt;B39),AND(J39&lt;&gt;"",OR(I39="",J39&lt;I39)),B39&gt;Parametres!$B$7),"Dates à corriger",IF(AND(H39="Traité",OR(I39="",J39="")),"Dates manquantes",IF(AND(H39="Transmis",I39=""),"Transmission manquante",IF(AND(H39&lt;&gt;"Traité",Parametres!$B$7-B39&gt;1),"À relancer","OK")))))))</f>
        <v/>
      </c>
    </row>
    <row r="40" spans="1:11" ht="22" customHeight="1">
      <c r="A40" s="8"/>
      <c r="B40" s="8"/>
      <c r="C40" s="8"/>
      <c r="D40" s="8"/>
      <c r="E40" s="8"/>
      <c r="F40" s="9">
        <f>IF(E40="","",IFERROR(VLOOKUP(E40,Services!$A$2:$D$4,2,FALSE),"Service à corriger"))</f>
        <v/>
      </c>
      <c r="G40" s="8"/>
      <c r="H40" s="8"/>
      <c r="I40" s="8"/>
      <c r="J40" s="8"/>
      <c r="K40" s="9">
        <f>IF(A40="","",IF(COUNTIF($A$2:$A$301,A40)&gt;1,"DOUBLON",IF(OR(B40="",C40="",D40="",COUNTIF(ListeServices,E40)&lt;&gt;1,G40="",COUNTIF(ListeMessages,H40)&lt;&gt;1),"Saisie incomplète",IF(OR(AND(I40&lt;&gt;"",I40&lt;B40),AND(J40&lt;&gt;"",OR(I40="",J40&lt;I40)),B40&gt;Parametres!$B$7),"Dates à corriger",IF(AND(H40="Traité",OR(I40="",J40="")),"Dates manquantes",IF(AND(H40="Transmis",I40=""),"Transmission manquante",IF(AND(H40&lt;&gt;"Traité",Parametres!$B$7-B40&gt;1),"À relancer","OK")))))))</f>
        <v/>
      </c>
    </row>
    <row r="41" spans="1:11" ht="22" customHeight="1">
      <c r="A41" s="8"/>
      <c r="B41" s="8"/>
      <c r="C41" s="8"/>
      <c r="D41" s="8"/>
      <c r="E41" s="8"/>
      <c r="F41" s="9">
        <f>IF(E41="","",IFERROR(VLOOKUP(E41,Services!$A$2:$D$4,2,FALSE),"Service à corriger"))</f>
        <v/>
      </c>
      <c r="G41" s="8"/>
      <c r="H41" s="8"/>
      <c r="I41" s="8"/>
      <c r="J41" s="8"/>
      <c r="K41" s="9">
        <f>IF(A41="","",IF(COUNTIF($A$2:$A$301,A41)&gt;1,"DOUBLON",IF(OR(B41="",C41="",D41="",COUNTIF(ListeServices,E41)&lt;&gt;1,G41="",COUNTIF(ListeMessages,H41)&lt;&gt;1),"Saisie incomplète",IF(OR(AND(I41&lt;&gt;"",I41&lt;B41),AND(J41&lt;&gt;"",OR(I41="",J41&lt;I41)),B41&gt;Parametres!$B$7),"Dates à corriger",IF(AND(H41="Traité",OR(I41="",J41="")),"Dates manquantes",IF(AND(H41="Transmis",I41=""),"Transmission manquante",IF(AND(H41&lt;&gt;"Traité",Parametres!$B$7-B41&gt;1),"À relancer","OK")))))))</f>
        <v/>
      </c>
    </row>
    <row r="42" spans="1:11" ht="22" customHeight="1">
      <c r="A42" s="8"/>
      <c r="B42" s="8"/>
      <c r="C42" s="8"/>
      <c r="D42" s="8"/>
      <c r="E42" s="8"/>
      <c r="F42" s="9">
        <f>IF(E42="","",IFERROR(VLOOKUP(E42,Services!$A$2:$D$4,2,FALSE),"Service à corriger"))</f>
        <v/>
      </c>
      <c r="G42" s="8"/>
      <c r="H42" s="8"/>
      <c r="I42" s="8"/>
      <c r="J42" s="8"/>
      <c r="K42" s="9">
        <f>IF(A42="","",IF(COUNTIF($A$2:$A$301,A42)&gt;1,"DOUBLON",IF(OR(B42="",C42="",D42="",COUNTIF(ListeServices,E42)&lt;&gt;1,G42="",COUNTIF(ListeMessages,H42)&lt;&gt;1),"Saisie incomplète",IF(OR(AND(I42&lt;&gt;"",I42&lt;B42),AND(J42&lt;&gt;"",OR(I42="",J42&lt;I42)),B42&gt;Parametres!$B$7),"Dates à corriger",IF(AND(H42="Traité",OR(I42="",J42="")),"Dates manquantes",IF(AND(H42="Transmis",I42=""),"Transmission manquante",IF(AND(H42&lt;&gt;"Traité",Parametres!$B$7-B42&gt;1),"À relancer","OK")))))))</f>
        <v/>
      </c>
    </row>
    <row r="43" spans="1:11" ht="22" customHeight="1">
      <c r="A43" s="8"/>
      <c r="B43" s="8"/>
      <c r="C43" s="8"/>
      <c r="D43" s="8"/>
      <c r="E43" s="8"/>
      <c r="F43" s="9">
        <f>IF(E43="","",IFERROR(VLOOKUP(E43,Services!$A$2:$D$4,2,FALSE),"Service à corriger"))</f>
        <v/>
      </c>
      <c r="G43" s="8"/>
      <c r="H43" s="8"/>
      <c r="I43" s="8"/>
      <c r="J43" s="8"/>
      <c r="K43" s="9">
        <f>IF(A43="","",IF(COUNTIF($A$2:$A$301,A43)&gt;1,"DOUBLON",IF(OR(B43="",C43="",D43="",COUNTIF(ListeServices,E43)&lt;&gt;1,G43="",COUNTIF(ListeMessages,H43)&lt;&gt;1),"Saisie incomplète",IF(OR(AND(I43&lt;&gt;"",I43&lt;B43),AND(J43&lt;&gt;"",OR(I43="",J43&lt;I43)),B43&gt;Parametres!$B$7),"Dates à corriger",IF(AND(H43="Traité",OR(I43="",J43="")),"Dates manquantes",IF(AND(H43="Transmis",I43=""),"Transmission manquante",IF(AND(H43&lt;&gt;"Traité",Parametres!$B$7-B43&gt;1),"À relancer","OK")))))))</f>
        <v/>
      </c>
    </row>
    <row r="44" spans="1:11" ht="22" customHeight="1">
      <c r="A44" s="8"/>
      <c r="B44" s="8"/>
      <c r="C44" s="8"/>
      <c r="D44" s="8"/>
      <c r="E44" s="8"/>
      <c r="F44" s="9">
        <f>IF(E44="","",IFERROR(VLOOKUP(E44,Services!$A$2:$D$4,2,FALSE),"Service à corriger"))</f>
        <v/>
      </c>
      <c r="G44" s="8"/>
      <c r="H44" s="8"/>
      <c r="I44" s="8"/>
      <c r="J44" s="8"/>
      <c r="K44" s="9">
        <f>IF(A44="","",IF(COUNTIF($A$2:$A$301,A44)&gt;1,"DOUBLON",IF(OR(B44="",C44="",D44="",COUNTIF(ListeServices,E44)&lt;&gt;1,G44="",COUNTIF(ListeMessages,H44)&lt;&gt;1),"Saisie incomplète",IF(OR(AND(I44&lt;&gt;"",I44&lt;B44),AND(J44&lt;&gt;"",OR(I44="",J44&lt;I44)),B44&gt;Parametres!$B$7),"Dates à corriger",IF(AND(H44="Traité",OR(I44="",J44="")),"Dates manquantes",IF(AND(H44="Transmis",I44=""),"Transmission manquante",IF(AND(H44&lt;&gt;"Traité",Parametres!$B$7-B44&gt;1),"À relancer","OK")))))))</f>
        <v/>
      </c>
    </row>
    <row r="45" spans="1:11" ht="22" customHeight="1">
      <c r="A45" s="8"/>
      <c r="B45" s="8"/>
      <c r="C45" s="8"/>
      <c r="D45" s="8"/>
      <c r="E45" s="8"/>
      <c r="F45" s="9">
        <f>IF(E45="","",IFERROR(VLOOKUP(E45,Services!$A$2:$D$4,2,FALSE),"Service à corriger"))</f>
        <v/>
      </c>
      <c r="G45" s="8"/>
      <c r="H45" s="8"/>
      <c r="I45" s="8"/>
      <c r="J45" s="8"/>
      <c r="K45" s="9">
        <f>IF(A45="","",IF(COUNTIF($A$2:$A$301,A45)&gt;1,"DOUBLON",IF(OR(B45="",C45="",D45="",COUNTIF(ListeServices,E45)&lt;&gt;1,G45="",COUNTIF(ListeMessages,H45)&lt;&gt;1),"Saisie incomplète",IF(OR(AND(I45&lt;&gt;"",I45&lt;B45),AND(J45&lt;&gt;"",OR(I45="",J45&lt;I45)),B45&gt;Parametres!$B$7),"Dates à corriger",IF(AND(H45="Traité",OR(I45="",J45="")),"Dates manquantes",IF(AND(H45="Transmis",I45=""),"Transmission manquante",IF(AND(H45&lt;&gt;"Traité",Parametres!$B$7-B45&gt;1),"À relancer","OK")))))))</f>
        <v/>
      </c>
    </row>
    <row r="46" spans="1:11" ht="22" customHeight="1">
      <c r="A46" s="8"/>
      <c r="B46" s="8"/>
      <c r="C46" s="8"/>
      <c r="D46" s="8"/>
      <c r="E46" s="8"/>
      <c r="F46" s="9">
        <f>IF(E46="","",IFERROR(VLOOKUP(E46,Services!$A$2:$D$4,2,FALSE),"Service à corriger"))</f>
        <v/>
      </c>
      <c r="G46" s="8"/>
      <c r="H46" s="8"/>
      <c r="I46" s="8"/>
      <c r="J46" s="8"/>
      <c r="K46" s="9">
        <f>IF(A46="","",IF(COUNTIF($A$2:$A$301,A46)&gt;1,"DOUBLON",IF(OR(B46="",C46="",D46="",COUNTIF(ListeServices,E46)&lt;&gt;1,G46="",COUNTIF(ListeMessages,H46)&lt;&gt;1),"Saisie incomplète",IF(OR(AND(I46&lt;&gt;"",I46&lt;B46),AND(J46&lt;&gt;"",OR(I46="",J46&lt;I46)),B46&gt;Parametres!$B$7),"Dates à corriger",IF(AND(H46="Traité",OR(I46="",J46="")),"Dates manquantes",IF(AND(H46="Transmis",I46=""),"Transmission manquante",IF(AND(H46&lt;&gt;"Traité",Parametres!$B$7-B46&gt;1),"À relancer","OK")))))))</f>
        <v/>
      </c>
    </row>
    <row r="47" spans="1:11" ht="22" customHeight="1">
      <c r="A47" s="8"/>
      <c r="B47" s="8"/>
      <c r="C47" s="8"/>
      <c r="D47" s="8"/>
      <c r="E47" s="8"/>
      <c r="F47" s="9">
        <f>IF(E47="","",IFERROR(VLOOKUP(E47,Services!$A$2:$D$4,2,FALSE),"Service à corriger"))</f>
        <v/>
      </c>
      <c r="G47" s="8"/>
      <c r="H47" s="8"/>
      <c r="I47" s="8"/>
      <c r="J47" s="8"/>
      <c r="K47" s="9">
        <f>IF(A47="","",IF(COUNTIF($A$2:$A$301,A47)&gt;1,"DOUBLON",IF(OR(B47="",C47="",D47="",COUNTIF(ListeServices,E47)&lt;&gt;1,G47="",COUNTIF(ListeMessages,H47)&lt;&gt;1),"Saisie incomplète",IF(OR(AND(I47&lt;&gt;"",I47&lt;B47),AND(J47&lt;&gt;"",OR(I47="",J47&lt;I47)),B47&gt;Parametres!$B$7),"Dates à corriger",IF(AND(H47="Traité",OR(I47="",J47="")),"Dates manquantes",IF(AND(H47="Transmis",I47=""),"Transmission manquante",IF(AND(H47&lt;&gt;"Traité",Parametres!$B$7-B47&gt;1),"À relancer","OK")))))))</f>
        <v/>
      </c>
    </row>
    <row r="48" spans="1:11" ht="22" customHeight="1">
      <c r="A48" s="8"/>
      <c r="B48" s="8"/>
      <c r="C48" s="8"/>
      <c r="D48" s="8"/>
      <c r="E48" s="8"/>
      <c r="F48" s="9">
        <f>IF(E48="","",IFERROR(VLOOKUP(E48,Services!$A$2:$D$4,2,FALSE),"Service à corriger"))</f>
        <v/>
      </c>
      <c r="G48" s="8"/>
      <c r="H48" s="8"/>
      <c r="I48" s="8"/>
      <c r="J48" s="8"/>
      <c r="K48" s="9">
        <f>IF(A48="","",IF(COUNTIF($A$2:$A$301,A48)&gt;1,"DOUBLON",IF(OR(B48="",C48="",D48="",COUNTIF(ListeServices,E48)&lt;&gt;1,G48="",COUNTIF(ListeMessages,H48)&lt;&gt;1),"Saisie incomplète",IF(OR(AND(I48&lt;&gt;"",I48&lt;B48),AND(J48&lt;&gt;"",OR(I48="",J48&lt;I48)),B48&gt;Parametres!$B$7),"Dates à corriger",IF(AND(H48="Traité",OR(I48="",J48="")),"Dates manquantes",IF(AND(H48="Transmis",I48=""),"Transmission manquante",IF(AND(H48&lt;&gt;"Traité",Parametres!$B$7-B48&gt;1),"À relancer","OK")))))))</f>
        <v/>
      </c>
    </row>
    <row r="49" spans="1:11" ht="22" customHeight="1">
      <c r="A49" s="8"/>
      <c r="B49" s="8"/>
      <c r="C49" s="8"/>
      <c r="D49" s="8"/>
      <c r="E49" s="8"/>
      <c r="F49" s="9">
        <f>IF(E49="","",IFERROR(VLOOKUP(E49,Services!$A$2:$D$4,2,FALSE),"Service à corriger"))</f>
        <v/>
      </c>
      <c r="G49" s="8"/>
      <c r="H49" s="8"/>
      <c r="I49" s="8"/>
      <c r="J49" s="8"/>
      <c r="K49" s="9">
        <f>IF(A49="","",IF(COUNTIF($A$2:$A$301,A49)&gt;1,"DOUBLON",IF(OR(B49="",C49="",D49="",COUNTIF(ListeServices,E49)&lt;&gt;1,G49="",COUNTIF(ListeMessages,H49)&lt;&gt;1),"Saisie incomplète",IF(OR(AND(I49&lt;&gt;"",I49&lt;B49),AND(J49&lt;&gt;"",OR(I49="",J49&lt;I49)),B49&gt;Parametres!$B$7),"Dates à corriger",IF(AND(H49="Traité",OR(I49="",J49="")),"Dates manquantes",IF(AND(H49="Transmis",I49=""),"Transmission manquante",IF(AND(H49&lt;&gt;"Traité",Parametres!$B$7-B49&gt;1),"À relancer","OK")))))))</f>
        <v/>
      </c>
    </row>
    <row r="50" spans="1:11" ht="22" customHeight="1">
      <c r="A50" s="8"/>
      <c r="B50" s="8"/>
      <c r="C50" s="8"/>
      <c r="D50" s="8"/>
      <c r="E50" s="8"/>
      <c r="F50" s="9">
        <f>IF(E50="","",IFERROR(VLOOKUP(E50,Services!$A$2:$D$4,2,FALSE),"Service à corriger"))</f>
        <v/>
      </c>
      <c r="G50" s="8"/>
      <c r="H50" s="8"/>
      <c r="I50" s="8"/>
      <c r="J50" s="8"/>
      <c r="K50" s="9">
        <f>IF(A50="","",IF(COUNTIF($A$2:$A$301,A50)&gt;1,"DOUBLON",IF(OR(B50="",C50="",D50="",COUNTIF(ListeServices,E50)&lt;&gt;1,G50="",COUNTIF(ListeMessages,H50)&lt;&gt;1),"Saisie incomplète",IF(OR(AND(I50&lt;&gt;"",I50&lt;B50),AND(J50&lt;&gt;"",OR(I50="",J50&lt;I50)),B50&gt;Parametres!$B$7),"Dates à corriger",IF(AND(H50="Traité",OR(I50="",J50="")),"Dates manquantes",IF(AND(H50="Transmis",I50=""),"Transmission manquante",IF(AND(H50&lt;&gt;"Traité",Parametres!$B$7-B50&gt;1),"À relancer","OK")))))))</f>
        <v/>
      </c>
    </row>
    <row r="51" spans="1:11" ht="22" customHeight="1">
      <c r="A51" s="8"/>
      <c r="B51" s="8"/>
      <c r="C51" s="8"/>
      <c r="D51" s="8"/>
      <c r="E51" s="8"/>
      <c r="F51" s="9">
        <f>IF(E51="","",IFERROR(VLOOKUP(E51,Services!$A$2:$D$4,2,FALSE),"Service à corriger"))</f>
        <v/>
      </c>
      <c r="G51" s="8"/>
      <c r="H51" s="8"/>
      <c r="I51" s="8"/>
      <c r="J51" s="8"/>
      <c r="K51" s="9">
        <f>IF(A51="","",IF(COUNTIF($A$2:$A$301,A51)&gt;1,"DOUBLON",IF(OR(B51="",C51="",D51="",COUNTIF(ListeServices,E51)&lt;&gt;1,G51="",COUNTIF(ListeMessages,H51)&lt;&gt;1),"Saisie incomplète",IF(OR(AND(I51&lt;&gt;"",I51&lt;B51),AND(J51&lt;&gt;"",OR(I51="",J51&lt;I51)),B51&gt;Parametres!$B$7),"Dates à corriger",IF(AND(H51="Traité",OR(I51="",J51="")),"Dates manquantes",IF(AND(H51="Transmis",I51=""),"Transmission manquante",IF(AND(H51&lt;&gt;"Traité",Parametres!$B$7-B51&gt;1),"À relancer","OK")))))))</f>
        <v/>
      </c>
    </row>
    <row r="52" spans="1:11" ht="22" customHeight="1">
      <c r="A52" s="8"/>
      <c r="B52" s="8"/>
      <c r="C52" s="8"/>
      <c r="D52" s="8"/>
      <c r="E52" s="8"/>
      <c r="F52" s="9">
        <f>IF(E52="","",IFERROR(VLOOKUP(E52,Services!$A$2:$D$4,2,FALSE),"Service à corriger"))</f>
        <v/>
      </c>
      <c r="G52" s="8"/>
      <c r="H52" s="8"/>
      <c r="I52" s="8"/>
      <c r="J52" s="8"/>
      <c r="K52" s="9">
        <f>IF(A52="","",IF(COUNTIF($A$2:$A$301,A52)&gt;1,"DOUBLON",IF(OR(B52="",C52="",D52="",COUNTIF(ListeServices,E52)&lt;&gt;1,G52="",COUNTIF(ListeMessages,H52)&lt;&gt;1),"Saisie incomplète",IF(OR(AND(I52&lt;&gt;"",I52&lt;B52),AND(J52&lt;&gt;"",OR(I52="",J52&lt;I52)),B52&gt;Parametres!$B$7),"Dates à corriger",IF(AND(H52="Traité",OR(I52="",J52="")),"Dates manquantes",IF(AND(H52="Transmis",I52=""),"Transmission manquante",IF(AND(H52&lt;&gt;"Traité",Parametres!$B$7-B52&gt;1),"À relancer","OK")))))))</f>
        <v/>
      </c>
    </row>
    <row r="53" spans="1:11" ht="22" customHeight="1">
      <c r="A53" s="8"/>
      <c r="B53" s="8"/>
      <c r="C53" s="8"/>
      <c r="D53" s="8"/>
      <c r="E53" s="8"/>
      <c r="F53" s="9">
        <f>IF(E53="","",IFERROR(VLOOKUP(E53,Services!$A$2:$D$4,2,FALSE),"Service à corriger"))</f>
        <v/>
      </c>
      <c r="G53" s="8"/>
      <c r="H53" s="8"/>
      <c r="I53" s="8"/>
      <c r="J53" s="8"/>
      <c r="K53" s="9">
        <f>IF(A53="","",IF(COUNTIF($A$2:$A$301,A53)&gt;1,"DOUBLON",IF(OR(B53="",C53="",D53="",COUNTIF(ListeServices,E53)&lt;&gt;1,G53="",COUNTIF(ListeMessages,H53)&lt;&gt;1),"Saisie incomplète",IF(OR(AND(I53&lt;&gt;"",I53&lt;B53),AND(J53&lt;&gt;"",OR(I53="",J53&lt;I53)),B53&gt;Parametres!$B$7),"Dates à corriger",IF(AND(H53="Traité",OR(I53="",J53="")),"Dates manquantes",IF(AND(H53="Transmis",I53=""),"Transmission manquante",IF(AND(H53&lt;&gt;"Traité",Parametres!$B$7-B53&gt;1),"À relancer","OK")))))))</f>
        <v/>
      </c>
    </row>
    <row r="54" spans="1:11" ht="22" customHeight="1">
      <c r="A54" s="8"/>
      <c r="B54" s="8"/>
      <c r="C54" s="8"/>
      <c r="D54" s="8"/>
      <c r="E54" s="8"/>
      <c r="F54" s="9">
        <f>IF(E54="","",IFERROR(VLOOKUP(E54,Services!$A$2:$D$4,2,FALSE),"Service à corriger"))</f>
        <v/>
      </c>
      <c r="G54" s="8"/>
      <c r="H54" s="8"/>
      <c r="I54" s="8"/>
      <c r="J54" s="8"/>
      <c r="K54" s="9">
        <f>IF(A54="","",IF(COUNTIF($A$2:$A$301,A54)&gt;1,"DOUBLON",IF(OR(B54="",C54="",D54="",COUNTIF(ListeServices,E54)&lt;&gt;1,G54="",COUNTIF(ListeMessages,H54)&lt;&gt;1),"Saisie incomplète",IF(OR(AND(I54&lt;&gt;"",I54&lt;B54),AND(J54&lt;&gt;"",OR(I54="",J54&lt;I54)),B54&gt;Parametres!$B$7),"Dates à corriger",IF(AND(H54="Traité",OR(I54="",J54="")),"Dates manquantes",IF(AND(H54="Transmis",I54=""),"Transmission manquante",IF(AND(H54&lt;&gt;"Traité",Parametres!$B$7-B54&gt;1),"À relancer","OK")))))))</f>
        <v/>
      </c>
    </row>
    <row r="55" spans="1:11" ht="22" customHeight="1">
      <c r="A55" s="8"/>
      <c r="B55" s="8"/>
      <c r="C55" s="8"/>
      <c r="D55" s="8"/>
      <c r="E55" s="8"/>
      <c r="F55" s="9">
        <f>IF(E55="","",IFERROR(VLOOKUP(E55,Services!$A$2:$D$4,2,FALSE),"Service à corriger"))</f>
        <v/>
      </c>
      <c r="G55" s="8"/>
      <c r="H55" s="8"/>
      <c r="I55" s="8"/>
      <c r="J55" s="8"/>
      <c r="K55" s="9">
        <f>IF(A55="","",IF(COUNTIF($A$2:$A$301,A55)&gt;1,"DOUBLON",IF(OR(B55="",C55="",D55="",COUNTIF(ListeServices,E55)&lt;&gt;1,G55="",COUNTIF(ListeMessages,H55)&lt;&gt;1),"Saisie incomplète",IF(OR(AND(I55&lt;&gt;"",I55&lt;B55),AND(J55&lt;&gt;"",OR(I55="",J55&lt;I55)),B55&gt;Parametres!$B$7),"Dates à corriger",IF(AND(H55="Traité",OR(I55="",J55="")),"Dates manquantes",IF(AND(H55="Transmis",I55=""),"Transmission manquante",IF(AND(H55&lt;&gt;"Traité",Parametres!$B$7-B55&gt;1),"À relancer","OK")))))))</f>
        <v/>
      </c>
    </row>
    <row r="56" spans="1:11" ht="22" customHeight="1">
      <c r="A56" s="8"/>
      <c r="B56" s="8"/>
      <c r="C56" s="8"/>
      <c r="D56" s="8"/>
      <c r="E56" s="8"/>
      <c r="F56" s="9">
        <f>IF(E56="","",IFERROR(VLOOKUP(E56,Services!$A$2:$D$4,2,FALSE),"Service à corriger"))</f>
        <v/>
      </c>
      <c r="G56" s="8"/>
      <c r="H56" s="8"/>
      <c r="I56" s="8"/>
      <c r="J56" s="8"/>
      <c r="K56" s="9">
        <f>IF(A56="","",IF(COUNTIF($A$2:$A$301,A56)&gt;1,"DOUBLON",IF(OR(B56="",C56="",D56="",COUNTIF(ListeServices,E56)&lt;&gt;1,G56="",COUNTIF(ListeMessages,H56)&lt;&gt;1),"Saisie incomplète",IF(OR(AND(I56&lt;&gt;"",I56&lt;B56),AND(J56&lt;&gt;"",OR(I56="",J56&lt;I56)),B56&gt;Parametres!$B$7),"Dates à corriger",IF(AND(H56="Traité",OR(I56="",J56="")),"Dates manquantes",IF(AND(H56="Transmis",I56=""),"Transmission manquante",IF(AND(H56&lt;&gt;"Traité",Parametres!$B$7-B56&gt;1),"À relancer","OK")))))))</f>
        <v/>
      </c>
    </row>
    <row r="57" spans="1:11" ht="22" customHeight="1">
      <c r="A57" s="8"/>
      <c r="B57" s="8"/>
      <c r="C57" s="8"/>
      <c r="D57" s="8"/>
      <c r="E57" s="8"/>
      <c r="F57" s="9">
        <f>IF(E57="","",IFERROR(VLOOKUP(E57,Services!$A$2:$D$4,2,FALSE),"Service à corriger"))</f>
        <v/>
      </c>
      <c r="G57" s="8"/>
      <c r="H57" s="8"/>
      <c r="I57" s="8"/>
      <c r="J57" s="8"/>
      <c r="K57" s="9">
        <f>IF(A57="","",IF(COUNTIF($A$2:$A$301,A57)&gt;1,"DOUBLON",IF(OR(B57="",C57="",D57="",COUNTIF(ListeServices,E57)&lt;&gt;1,G57="",COUNTIF(ListeMessages,H57)&lt;&gt;1),"Saisie incomplète",IF(OR(AND(I57&lt;&gt;"",I57&lt;B57),AND(J57&lt;&gt;"",OR(I57="",J57&lt;I57)),B57&gt;Parametres!$B$7),"Dates à corriger",IF(AND(H57="Traité",OR(I57="",J57="")),"Dates manquantes",IF(AND(H57="Transmis",I57=""),"Transmission manquante",IF(AND(H57&lt;&gt;"Traité",Parametres!$B$7-B57&gt;1),"À relancer","OK")))))))</f>
        <v/>
      </c>
    </row>
    <row r="58" spans="1:11" ht="22" customHeight="1">
      <c r="A58" s="8"/>
      <c r="B58" s="8"/>
      <c r="C58" s="8"/>
      <c r="D58" s="8"/>
      <c r="E58" s="8"/>
      <c r="F58" s="9">
        <f>IF(E58="","",IFERROR(VLOOKUP(E58,Services!$A$2:$D$4,2,FALSE),"Service à corriger"))</f>
        <v/>
      </c>
      <c r="G58" s="8"/>
      <c r="H58" s="8"/>
      <c r="I58" s="8"/>
      <c r="J58" s="8"/>
      <c r="K58" s="9">
        <f>IF(A58="","",IF(COUNTIF($A$2:$A$301,A58)&gt;1,"DOUBLON",IF(OR(B58="",C58="",D58="",COUNTIF(ListeServices,E58)&lt;&gt;1,G58="",COUNTIF(ListeMessages,H58)&lt;&gt;1),"Saisie incomplète",IF(OR(AND(I58&lt;&gt;"",I58&lt;B58),AND(J58&lt;&gt;"",OR(I58="",J58&lt;I58)),B58&gt;Parametres!$B$7),"Dates à corriger",IF(AND(H58="Traité",OR(I58="",J58="")),"Dates manquantes",IF(AND(H58="Transmis",I58=""),"Transmission manquante",IF(AND(H58&lt;&gt;"Traité",Parametres!$B$7-B58&gt;1),"À relancer","OK")))))))</f>
        <v/>
      </c>
    </row>
    <row r="59" spans="1:11" ht="22" customHeight="1">
      <c r="A59" s="8"/>
      <c r="B59" s="8"/>
      <c r="C59" s="8"/>
      <c r="D59" s="8"/>
      <c r="E59" s="8"/>
      <c r="F59" s="9">
        <f>IF(E59="","",IFERROR(VLOOKUP(E59,Services!$A$2:$D$4,2,FALSE),"Service à corriger"))</f>
        <v/>
      </c>
      <c r="G59" s="8"/>
      <c r="H59" s="8"/>
      <c r="I59" s="8"/>
      <c r="J59" s="8"/>
      <c r="K59" s="9">
        <f>IF(A59="","",IF(COUNTIF($A$2:$A$301,A59)&gt;1,"DOUBLON",IF(OR(B59="",C59="",D59="",COUNTIF(ListeServices,E59)&lt;&gt;1,G59="",COUNTIF(ListeMessages,H59)&lt;&gt;1),"Saisie incomplète",IF(OR(AND(I59&lt;&gt;"",I59&lt;B59),AND(J59&lt;&gt;"",OR(I59="",J59&lt;I59)),B59&gt;Parametres!$B$7),"Dates à corriger",IF(AND(H59="Traité",OR(I59="",J59="")),"Dates manquantes",IF(AND(H59="Transmis",I59=""),"Transmission manquante",IF(AND(H59&lt;&gt;"Traité",Parametres!$B$7-B59&gt;1),"À relancer","OK")))))))</f>
        <v/>
      </c>
    </row>
    <row r="60" spans="1:11" ht="22" customHeight="1">
      <c r="A60" s="8"/>
      <c r="B60" s="8"/>
      <c r="C60" s="8"/>
      <c r="D60" s="8"/>
      <c r="E60" s="8"/>
      <c r="F60" s="9">
        <f>IF(E60="","",IFERROR(VLOOKUP(E60,Services!$A$2:$D$4,2,FALSE),"Service à corriger"))</f>
        <v/>
      </c>
      <c r="G60" s="8"/>
      <c r="H60" s="8"/>
      <c r="I60" s="8"/>
      <c r="J60" s="8"/>
      <c r="K60" s="9">
        <f>IF(A60="","",IF(COUNTIF($A$2:$A$301,A60)&gt;1,"DOUBLON",IF(OR(B60="",C60="",D60="",COUNTIF(ListeServices,E60)&lt;&gt;1,G60="",COUNTIF(ListeMessages,H60)&lt;&gt;1),"Saisie incomplète",IF(OR(AND(I60&lt;&gt;"",I60&lt;B60),AND(J60&lt;&gt;"",OR(I60="",J60&lt;I60)),B60&gt;Parametres!$B$7),"Dates à corriger",IF(AND(H60="Traité",OR(I60="",J60="")),"Dates manquantes",IF(AND(H60="Transmis",I60=""),"Transmission manquante",IF(AND(H60&lt;&gt;"Traité",Parametres!$B$7-B60&gt;1),"À relancer","OK")))))))</f>
        <v/>
      </c>
    </row>
    <row r="61" spans="1:11" ht="22" customHeight="1">
      <c r="A61" s="8"/>
      <c r="B61" s="8"/>
      <c r="C61" s="8"/>
      <c r="D61" s="8"/>
      <c r="E61" s="8"/>
      <c r="F61" s="9">
        <f>IF(E61="","",IFERROR(VLOOKUP(E61,Services!$A$2:$D$4,2,FALSE),"Service à corriger"))</f>
        <v/>
      </c>
      <c r="G61" s="8"/>
      <c r="H61" s="8"/>
      <c r="I61" s="8"/>
      <c r="J61" s="8"/>
      <c r="K61" s="9">
        <f>IF(A61="","",IF(COUNTIF($A$2:$A$301,A61)&gt;1,"DOUBLON",IF(OR(B61="",C61="",D61="",COUNTIF(ListeServices,E61)&lt;&gt;1,G61="",COUNTIF(ListeMessages,H61)&lt;&gt;1),"Saisie incomplète",IF(OR(AND(I61&lt;&gt;"",I61&lt;B61),AND(J61&lt;&gt;"",OR(I61="",J61&lt;I61)),B61&gt;Parametres!$B$7),"Dates à corriger",IF(AND(H61="Traité",OR(I61="",J61="")),"Dates manquantes",IF(AND(H61="Transmis",I61=""),"Transmission manquante",IF(AND(H61&lt;&gt;"Traité",Parametres!$B$7-B61&gt;1),"À relancer","OK")))))))</f>
        <v/>
      </c>
    </row>
    <row r="62" spans="1:11" ht="22" customHeight="1">
      <c r="A62" s="8"/>
      <c r="B62" s="8"/>
      <c r="C62" s="8"/>
      <c r="D62" s="8"/>
      <c r="E62" s="8"/>
      <c r="F62" s="9">
        <f>IF(E62="","",IFERROR(VLOOKUP(E62,Services!$A$2:$D$4,2,FALSE),"Service à corriger"))</f>
        <v/>
      </c>
      <c r="G62" s="8"/>
      <c r="H62" s="8"/>
      <c r="I62" s="8"/>
      <c r="J62" s="8"/>
      <c r="K62" s="9">
        <f>IF(A62="","",IF(COUNTIF($A$2:$A$301,A62)&gt;1,"DOUBLON",IF(OR(B62="",C62="",D62="",COUNTIF(ListeServices,E62)&lt;&gt;1,G62="",COUNTIF(ListeMessages,H62)&lt;&gt;1),"Saisie incomplète",IF(OR(AND(I62&lt;&gt;"",I62&lt;B62),AND(J62&lt;&gt;"",OR(I62="",J62&lt;I62)),B62&gt;Parametres!$B$7),"Dates à corriger",IF(AND(H62="Traité",OR(I62="",J62="")),"Dates manquantes",IF(AND(H62="Transmis",I62=""),"Transmission manquante",IF(AND(H62&lt;&gt;"Traité",Parametres!$B$7-B62&gt;1),"À relancer","OK")))))))</f>
        <v/>
      </c>
    </row>
    <row r="63" spans="1:11" ht="22" customHeight="1">
      <c r="A63" s="8"/>
      <c r="B63" s="8"/>
      <c r="C63" s="8"/>
      <c r="D63" s="8"/>
      <c r="E63" s="8"/>
      <c r="F63" s="9">
        <f>IF(E63="","",IFERROR(VLOOKUP(E63,Services!$A$2:$D$4,2,FALSE),"Service à corriger"))</f>
        <v/>
      </c>
      <c r="G63" s="8"/>
      <c r="H63" s="8"/>
      <c r="I63" s="8"/>
      <c r="J63" s="8"/>
      <c r="K63" s="9">
        <f>IF(A63="","",IF(COUNTIF($A$2:$A$301,A63)&gt;1,"DOUBLON",IF(OR(B63="",C63="",D63="",COUNTIF(ListeServices,E63)&lt;&gt;1,G63="",COUNTIF(ListeMessages,H63)&lt;&gt;1),"Saisie incomplète",IF(OR(AND(I63&lt;&gt;"",I63&lt;B63),AND(J63&lt;&gt;"",OR(I63="",J63&lt;I63)),B63&gt;Parametres!$B$7),"Dates à corriger",IF(AND(H63="Traité",OR(I63="",J63="")),"Dates manquantes",IF(AND(H63="Transmis",I63=""),"Transmission manquante",IF(AND(H63&lt;&gt;"Traité",Parametres!$B$7-B63&gt;1),"À relancer","OK")))))))</f>
        <v/>
      </c>
    </row>
    <row r="64" spans="1:11" ht="22" customHeight="1">
      <c r="A64" s="8"/>
      <c r="B64" s="8"/>
      <c r="C64" s="8"/>
      <c r="D64" s="8"/>
      <c r="E64" s="8"/>
      <c r="F64" s="9">
        <f>IF(E64="","",IFERROR(VLOOKUP(E64,Services!$A$2:$D$4,2,FALSE),"Service à corriger"))</f>
        <v/>
      </c>
      <c r="G64" s="8"/>
      <c r="H64" s="8"/>
      <c r="I64" s="8"/>
      <c r="J64" s="8"/>
      <c r="K64" s="9">
        <f>IF(A64="","",IF(COUNTIF($A$2:$A$301,A64)&gt;1,"DOUBLON",IF(OR(B64="",C64="",D64="",COUNTIF(ListeServices,E64)&lt;&gt;1,G64="",COUNTIF(ListeMessages,H64)&lt;&gt;1),"Saisie incomplète",IF(OR(AND(I64&lt;&gt;"",I64&lt;B64),AND(J64&lt;&gt;"",OR(I64="",J64&lt;I64)),B64&gt;Parametres!$B$7),"Dates à corriger",IF(AND(H64="Traité",OR(I64="",J64="")),"Dates manquantes",IF(AND(H64="Transmis",I64=""),"Transmission manquante",IF(AND(H64&lt;&gt;"Traité",Parametres!$B$7-B64&gt;1),"À relancer","OK")))))))</f>
        <v/>
      </c>
    </row>
    <row r="65" spans="1:11" ht="22" customHeight="1">
      <c r="A65" s="8"/>
      <c r="B65" s="8"/>
      <c r="C65" s="8"/>
      <c r="D65" s="8"/>
      <c r="E65" s="8"/>
      <c r="F65" s="9">
        <f>IF(E65="","",IFERROR(VLOOKUP(E65,Services!$A$2:$D$4,2,FALSE),"Service à corriger"))</f>
        <v/>
      </c>
      <c r="G65" s="8"/>
      <c r="H65" s="8"/>
      <c r="I65" s="8"/>
      <c r="J65" s="8"/>
      <c r="K65" s="9">
        <f>IF(A65="","",IF(COUNTIF($A$2:$A$301,A65)&gt;1,"DOUBLON",IF(OR(B65="",C65="",D65="",COUNTIF(ListeServices,E65)&lt;&gt;1,G65="",COUNTIF(ListeMessages,H65)&lt;&gt;1),"Saisie incomplète",IF(OR(AND(I65&lt;&gt;"",I65&lt;B65),AND(J65&lt;&gt;"",OR(I65="",J65&lt;I65)),B65&gt;Parametres!$B$7),"Dates à corriger",IF(AND(H65="Traité",OR(I65="",J65="")),"Dates manquantes",IF(AND(H65="Transmis",I65=""),"Transmission manquante",IF(AND(H65&lt;&gt;"Traité",Parametres!$B$7-B65&gt;1),"À relancer","OK")))))))</f>
        <v/>
      </c>
    </row>
    <row r="66" spans="1:11" ht="22" customHeight="1">
      <c r="A66" s="8"/>
      <c r="B66" s="8"/>
      <c r="C66" s="8"/>
      <c r="D66" s="8"/>
      <c r="E66" s="8"/>
      <c r="F66" s="9">
        <f>IF(E66="","",IFERROR(VLOOKUP(E66,Services!$A$2:$D$4,2,FALSE),"Service à corriger"))</f>
        <v/>
      </c>
      <c r="G66" s="8"/>
      <c r="H66" s="8"/>
      <c r="I66" s="8"/>
      <c r="J66" s="8"/>
      <c r="K66" s="9">
        <f>IF(A66="","",IF(COUNTIF($A$2:$A$301,A66)&gt;1,"DOUBLON",IF(OR(B66="",C66="",D66="",COUNTIF(ListeServices,E66)&lt;&gt;1,G66="",COUNTIF(ListeMessages,H66)&lt;&gt;1),"Saisie incomplète",IF(OR(AND(I66&lt;&gt;"",I66&lt;B66),AND(J66&lt;&gt;"",OR(I66="",J66&lt;I66)),B66&gt;Parametres!$B$7),"Dates à corriger",IF(AND(H66="Traité",OR(I66="",J66="")),"Dates manquantes",IF(AND(H66="Transmis",I66=""),"Transmission manquante",IF(AND(H66&lt;&gt;"Traité",Parametres!$B$7-B66&gt;1),"À relancer","OK")))))))</f>
        <v/>
      </c>
    </row>
    <row r="67" spans="1:11" ht="22" customHeight="1">
      <c r="A67" s="8"/>
      <c r="B67" s="8"/>
      <c r="C67" s="8"/>
      <c r="D67" s="8"/>
      <c r="E67" s="8"/>
      <c r="F67" s="9">
        <f>IF(E67="","",IFERROR(VLOOKUP(E67,Services!$A$2:$D$4,2,FALSE),"Service à corriger"))</f>
        <v/>
      </c>
      <c r="G67" s="8"/>
      <c r="H67" s="8"/>
      <c r="I67" s="8"/>
      <c r="J67" s="8"/>
      <c r="K67" s="9">
        <f>IF(A67="","",IF(COUNTIF($A$2:$A$301,A67)&gt;1,"DOUBLON",IF(OR(B67="",C67="",D67="",COUNTIF(ListeServices,E67)&lt;&gt;1,G67="",COUNTIF(ListeMessages,H67)&lt;&gt;1),"Saisie incomplète",IF(OR(AND(I67&lt;&gt;"",I67&lt;B67),AND(J67&lt;&gt;"",OR(I67="",J67&lt;I67)),B67&gt;Parametres!$B$7),"Dates à corriger",IF(AND(H67="Traité",OR(I67="",J67="")),"Dates manquantes",IF(AND(H67="Transmis",I67=""),"Transmission manquante",IF(AND(H67&lt;&gt;"Traité",Parametres!$B$7-B67&gt;1),"À relancer","OK")))))))</f>
        <v/>
      </c>
    </row>
    <row r="68" spans="1:11" ht="22" customHeight="1">
      <c r="A68" s="8"/>
      <c r="B68" s="8"/>
      <c r="C68" s="8"/>
      <c r="D68" s="8"/>
      <c r="E68" s="8"/>
      <c r="F68" s="9">
        <f>IF(E68="","",IFERROR(VLOOKUP(E68,Services!$A$2:$D$4,2,FALSE),"Service à corriger"))</f>
        <v/>
      </c>
      <c r="G68" s="8"/>
      <c r="H68" s="8"/>
      <c r="I68" s="8"/>
      <c r="J68" s="8"/>
      <c r="K68" s="9">
        <f>IF(A68="","",IF(COUNTIF($A$2:$A$301,A68)&gt;1,"DOUBLON",IF(OR(B68="",C68="",D68="",COUNTIF(ListeServices,E68)&lt;&gt;1,G68="",COUNTIF(ListeMessages,H68)&lt;&gt;1),"Saisie incomplète",IF(OR(AND(I68&lt;&gt;"",I68&lt;B68),AND(J68&lt;&gt;"",OR(I68="",J68&lt;I68)),B68&gt;Parametres!$B$7),"Dates à corriger",IF(AND(H68="Traité",OR(I68="",J68="")),"Dates manquantes",IF(AND(H68="Transmis",I68=""),"Transmission manquante",IF(AND(H68&lt;&gt;"Traité",Parametres!$B$7-B68&gt;1),"À relancer","OK")))))))</f>
        <v/>
      </c>
    </row>
    <row r="69" spans="1:11" ht="22" customHeight="1">
      <c r="A69" s="8"/>
      <c r="B69" s="8"/>
      <c r="C69" s="8"/>
      <c r="D69" s="8"/>
      <c r="E69" s="8"/>
      <c r="F69" s="9">
        <f>IF(E69="","",IFERROR(VLOOKUP(E69,Services!$A$2:$D$4,2,FALSE),"Service à corriger"))</f>
        <v/>
      </c>
      <c r="G69" s="8"/>
      <c r="H69" s="8"/>
      <c r="I69" s="8"/>
      <c r="J69" s="8"/>
      <c r="K69" s="9">
        <f>IF(A69="","",IF(COUNTIF($A$2:$A$301,A69)&gt;1,"DOUBLON",IF(OR(B69="",C69="",D69="",COUNTIF(ListeServices,E69)&lt;&gt;1,G69="",COUNTIF(ListeMessages,H69)&lt;&gt;1),"Saisie incomplète",IF(OR(AND(I69&lt;&gt;"",I69&lt;B69),AND(J69&lt;&gt;"",OR(I69="",J69&lt;I69)),B69&gt;Parametres!$B$7),"Dates à corriger",IF(AND(H69="Traité",OR(I69="",J69="")),"Dates manquantes",IF(AND(H69="Transmis",I69=""),"Transmission manquante",IF(AND(H69&lt;&gt;"Traité",Parametres!$B$7-B69&gt;1),"À relancer","OK")))))))</f>
        <v/>
      </c>
    </row>
    <row r="70" spans="1:11" ht="22" customHeight="1">
      <c r="A70" s="8"/>
      <c r="B70" s="8"/>
      <c r="C70" s="8"/>
      <c r="D70" s="8"/>
      <c r="E70" s="8"/>
      <c r="F70" s="9">
        <f>IF(E70="","",IFERROR(VLOOKUP(E70,Services!$A$2:$D$4,2,FALSE),"Service à corriger"))</f>
        <v/>
      </c>
      <c r="G70" s="8"/>
      <c r="H70" s="8"/>
      <c r="I70" s="8"/>
      <c r="J70" s="8"/>
      <c r="K70" s="9">
        <f>IF(A70="","",IF(COUNTIF($A$2:$A$301,A70)&gt;1,"DOUBLON",IF(OR(B70="",C70="",D70="",COUNTIF(ListeServices,E70)&lt;&gt;1,G70="",COUNTIF(ListeMessages,H70)&lt;&gt;1),"Saisie incomplète",IF(OR(AND(I70&lt;&gt;"",I70&lt;B70),AND(J70&lt;&gt;"",OR(I70="",J70&lt;I70)),B70&gt;Parametres!$B$7),"Dates à corriger",IF(AND(H70="Traité",OR(I70="",J70="")),"Dates manquantes",IF(AND(H70="Transmis",I70=""),"Transmission manquante",IF(AND(H70&lt;&gt;"Traité",Parametres!$B$7-B70&gt;1),"À relancer","OK")))))))</f>
        <v/>
      </c>
    </row>
    <row r="71" spans="1:11" ht="22" customHeight="1">
      <c r="A71" s="8"/>
      <c r="B71" s="8"/>
      <c r="C71" s="8"/>
      <c r="D71" s="8"/>
      <c r="E71" s="8"/>
      <c r="F71" s="9">
        <f>IF(E71="","",IFERROR(VLOOKUP(E71,Services!$A$2:$D$4,2,FALSE),"Service à corriger"))</f>
        <v/>
      </c>
      <c r="G71" s="8"/>
      <c r="H71" s="8"/>
      <c r="I71" s="8"/>
      <c r="J71" s="8"/>
      <c r="K71" s="9">
        <f>IF(A71="","",IF(COUNTIF($A$2:$A$301,A71)&gt;1,"DOUBLON",IF(OR(B71="",C71="",D71="",COUNTIF(ListeServices,E71)&lt;&gt;1,G71="",COUNTIF(ListeMessages,H71)&lt;&gt;1),"Saisie incomplète",IF(OR(AND(I71&lt;&gt;"",I71&lt;B71),AND(J71&lt;&gt;"",OR(I71="",J71&lt;I71)),B71&gt;Parametres!$B$7),"Dates à corriger",IF(AND(H71="Traité",OR(I71="",J71="")),"Dates manquantes",IF(AND(H71="Transmis",I71=""),"Transmission manquante",IF(AND(H71&lt;&gt;"Traité",Parametres!$B$7-B71&gt;1),"À relancer","OK")))))))</f>
        <v/>
      </c>
    </row>
    <row r="72" spans="1:11" ht="22" customHeight="1">
      <c r="A72" s="8"/>
      <c r="B72" s="8"/>
      <c r="C72" s="8"/>
      <c r="D72" s="8"/>
      <c r="E72" s="8"/>
      <c r="F72" s="9">
        <f>IF(E72="","",IFERROR(VLOOKUP(E72,Services!$A$2:$D$4,2,FALSE),"Service à corriger"))</f>
        <v/>
      </c>
      <c r="G72" s="8"/>
      <c r="H72" s="8"/>
      <c r="I72" s="8"/>
      <c r="J72" s="8"/>
      <c r="K72" s="9">
        <f>IF(A72="","",IF(COUNTIF($A$2:$A$301,A72)&gt;1,"DOUBLON",IF(OR(B72="",C72="",D72="",COUNTIF(ListeServices,E72)&lt;&gt;1,G72="",COUNTIF(ListeMessages,H72)&lt;&gt;1),"Saisie incomplète",IF(OR(AND(I72&lt;&gt;"",I72&lt;B72),AND(J72&lt;&gt;"",OR(I72="",J72&lt;I72)),B72&gt;Parametres!$B$7),"Dates à corriger",IF(AND(H72="Traité",OR(I72="",J72="")),"Dates manquantes",IF(AND(H72="Transmis",I72=""),"Transmission manquante",IF(AND(H72&lt;&gt;"Traité",Parametres!$B$7-B72&gt;1),"À relancer","OK")))))))</f>
        <v/>
      </c>
    </row>
    <row r="73" spans="1:11" ht="22" customHeight="1">
      <c r="A73" s="8"/>
      <c r="B73" s="8"/>
      <c r="C73" s="8"/>
      <c r="D73" s="8"/>
      <c r="E73" s="8"/>
      <c r="F73" s="9">
        <f>IF(E73="","",IFERROR(VLOOKUP(E73,Services!$A$2:$D$4,2,FALSE),"Service à corriger"))</f>
        <v/>
      </c>
      <c r="G73" s="8"/>
      <c r="H73" s="8"/>
      <c r="I73" s="8"/>
      <c r="J73" s="8"/>
      <c r="K73" s="9">
        <f>IF(A73="","",IF(COUNTIF($A$2:$A$301,A73)&gt;1,"DOUBLON",IF(OR(B73="",C73="",D73="",COUNTIF(ListeServices,E73)&lt;&gt;1,G73="",COUNTIF(ListeMessages,H73)&lt;&gt;1),"Saisie incomplète",IF(OR(AND(I73&lt;&gt;"",I73&lt;B73),AND(J73&lt;&gt;"",OR(I73="",J73&lt;I73)),B73&gt;Parametres!$B$7),"Dates à corriger",IF(AND(H73="Traité",OR(I73="",J73="")),"Dates manquantes",IF(AND(H73="Transmis",I73=""),"Transmission manquante",IF(AND(H73&lt;&gt;"Traité",Parametres!$B$7-B73&gt;1),"À relancer","OK")))))))</f>
        <v/>
      </c>
    </row>
    <row r="74" spans="1:11" ht="22" customHeight="1">
      <c r="A74" s="8"/>
      <c r="B74" s="8"/>
      <c r="C74" s="8"/>
      <c r="D74" s="8"/>
      <c r="E74" s="8"/>
      <c r="F74" s="9">
        <f>IF(E74="","",IFERROR(VLOOKUP(E74,Services!$A$2:$D$4,2,FALSE),"Service à corriger"))</f>
        <v/>
      </c>
      <c r="G74" s="8"/>
      <c r="H74" s="8"/>
      <c r="I74" s="8"/>
      <c r="J74" s="8"/>
      <c r="K74" s="9">
        <f>IF(A74="","",IF(COUNTIF($A$2:$A$301,A74)&gt;1,"DOUBLON",IF(OR(B74="",C74="",D74="",COUNTIF(ListeServices,E74)&lt;&gt;1,G74="",COUNTIF(ListeMessages,H74)&lt;&gt;1),"Saisie incomplète",IF(OR(AND(I74&lt;&gt;"",I74&lt;B74),AND(J74&lt;&gt;"",OR(I74="",J74&lt;I74)),B74&gt;Parametres!$B$7),"Dates à corriger",IF(AND(H74="Traité",OR(I74="",J74="")),"Dates manquantes",IF(AND(H74="Transmis",I74=""),"Transmission manquante",IF(AND(H74&lt;&gt;"Traité",Parametres!$B$7-B74&gt;1),"À relancer","OK")))))))</f>
        <v/>
      </c>
    </row>
    <row r="75" spans="1:11" ht="22" customHeight="1">
      <c r="A75" s="8"/>
      <c r="B75" s="8"/>
      <c r="C75" s="8"/>
      <c r="D75" s="8"/>
      <c r="E75" s="8"/>
      <c r="F75" s="9">
        <f>IF(E75="","",IFERROR(VLOOKUP(E75,Services!$A$2:$D$4,2,FALSE),"Service à corriger"))</f>
        <v/>
      </c>
      <c r="G75" s="8"/>
      <c r="H75" s="8"/>
      <c r="I75" s="8"/>
      <c r="J75" s="8"/>
      <c r="K75" s="9">
        <f>IF(A75="","",IF(COUNTIF($A$2:$A$301,A75)&gt;1,"DOUBLON",IF(OR(B75="",C75="",D75="",COUNTIF(ListeServices,E75)&lt;&gt;1,G75="",COUNTIF(ListeMessages,H75)&lt;&gt;1),"Saisie incomplète",IF(OR(AND(I75&lt;&gt;"",I75&lt;B75),AND(J75&lt;&gt;"",OR(I75="",J75&lt;I75)),B75&gt;Parametres!$B$7),"Dates à corriger",IF(AND(H75="Traité",OR(I75="",J75="")),"Dates manquantes",IF(AND(H75="Transmis",I75=""),"Transmission manquante",IF(AND(H75&lt;&gt;"Traité",Parametres!$B$7-B75&gt;1),"À relancer","OK")))))))</f>
        <v/>
      </c>
    </row>
    <row r="76" spans="1:11" ht="22" customHeight="1">
      <c r="A76" s="8"/>
      <c r="B76" s="8"/>
      <c r="C76" s="8"/>
      <c r="D76" s="8"/>
      <c r="E76" s="8"/>
      <c r="F76" s="9">
        <f>IF(E76="","",IFERROR(VLOOKUP(E76,Services!$A$2:$D$4,2,FALSE),"Service à corriger"))</f>
        <v/>
      </c>
      <c r="G76" s="8"/>
      <c r="H76" s="8"/>
      <c r="I76" s="8"/>
      <c r="J76" s="8"/>
      <c r="K76" s="9">
        <f>IF(A76="","",IF(COUNTIF($A$2:$A$301,A76)&gt;1,"DOUBLON",IF(OR(B76="",C76="",D76="",COUNTIF(ListeServices,E76)&lt;&gt;1,G76="",COUNTIF(ListeMessages,H76)&lt;&gt;1),"Saisie incomplète",IF(OR(AND(I76&lt;&gt;"",I76&lt;B76),AND(J76&lt;&gt;"",OR(I76="",J76&lt;I76)),B76&gt;Parametres!$B$7),"Dates à corriger",IF(AND(H76="Traité",OR(I76="",J76="")),"Dates manquantes",IF(AND(H76="Transmis",I76=""),"Transmission manquante",IF(AND(H76&lt;&gt;"Traité",Parametres!$B$7-B76&gt;1),"À relancer","OK")))))))</f>
        <v/>
      </c>
    </row>
    <row r="77" spans="1:11" ht="22" customHeight="1">
      <c r="A77" s="8"/>
      <c r="B77" s="8"/>
      <c r="C77" s="8"/>
      <c r="D77" s="8"/>
      <c r="E77" s="8"/>
      <c r="F77" s="9">
        <f>IF(E77="","",IFERROR(VLOOKUP(E77,Services!$A$2:$D$4,2,FALSE),"Service à corriger"))</f>
        <v/>
      </c>
      <c r="G77" s="8"/>
      <c r="H77" s="8"/>
      <c r="I77" s="8"/>
      <c r="J77" s="8"/>
      <c r="K77" s="9">
        <f>IF(A77="","",IF(COUNTIF($A$2:$A$301,A77)&gt;1,"DOUBLON",IF(OR(B77="",C77="",D77="",COUNTIF(ListeServices,E77)&lt;&gt;1,G77="",COUNTIF(ListeMessages,H77)&lt;&gt;1),"Saisie incomplète",IF(OR(AND(I77&lt;&gt;"",I77&lt;B77),AND(J77&lt;&gt;"",OR(I77="",J77&lt;I77)),B77&gt;Parametres!$B$7),"Dates à corriger",IF(AND(H77="Traité",OR(I77="",J77="")),"Dates manquantes",IF(AND(H77="Transmis",I77=""),"Transmission manquante",IF(AND(H77&lt;&gt;"Traité",Parametres!$B$7-B77&gt;1),"À relancer","OK")))))))</f>
        <v/>
      </c>
    </row>
    <row r="78" spans="1:11" ht="22" customHeight="1">
      <c r="A78" s="8"/>
      <c r="B78" s="8"/>
      <c r="C78" s="8"/>
      <c r="D78" s="8"/>
      <c r="E78" s="8"/>
      <c r="F78" s="9">
        <f>IF(E78="","",IFERROR(VLOOKUP(E78,Services!$A$2:$D$4,2,FALSE),"Service à corriger"))</f>
        <v/>
      </c>
      <c r="G78" s="8"/>
      <c r="H78" s="8"/>
      <c r="I78" s="8"/>
      <c r="J78" s="8"/>
      <c r="K78" s="9">
        <f>IF(A78="","",IF(COUNTIF($A$2:$A$301,A78)&gt;1,"DOUBLON",IF(OR(B78="",C78="",D78="",COUNTIF(ListeServices,E78)&lt;&gt;1,G78="",COUNTIF(ListeMessages,H78)&lt;&gt;1),"Saisie incomplète",IF(OR(AND(I78&lt;&gt;"",I78&lt;B78),AND(J78&lt;&gt;"",OR(I78="",J78&lt;I78)),B78&gt;Parametres!$B$7),"Dates à corriger",IF(AND(H78="Traité",OR(I78="",J78="")),"Dates manquantes",IF(AND(H78="Transmis",I78=""),"Transmission manquante",IF(AND(H78&lt;&gt;"Traité",Parametres!$B$7-B78&gt;1),"À relancer","OK")))))))</f>
        <v/>
      </c>
    </row>
    <row r="79" spans="1:11" ht="22" customHeight="1">
      <c r="A79" s="8"/>
      <c r="B79" s="8"/>
      <c r="C79" s="8"/>
      <c r="D79" s="8"/>
      <c r="E79" s="8"/>
      <c r="F79" s="9">
        <f>IF(E79="","",IFERROR(VLOOKUP(E79,Services!$A$2:$D$4,2,FALSE),"Service à corriger"))</f>
        <v/>
      </c>
      <c r="G79" s="8"/>
      <c r="H79" s="8"/>
      <c r="I79" s="8"/>
      <c r="J79" s="8"/>
      <c r="K79" s="9">
        <f>IF(A79="","",IF(COUNTIF($A$2:$A$301,A79)&gt;1,"DOUBLON",IF(OR(B79="",C79="",D79="",COUNTIF(ListeServices,E79)&lt;&gt;1,G79="",COUNTIF(ListeMessages,H79)&lt;&gt;1),"Saisie incomplète",IF(OR(AND(I79&lt;&gt;"",I79&lt;B79),AND(J79&lt;&gt;"",OR(I79="",J79&lt;I79)),B79&gt;Parametres!$B$7),"Dates à corriger",IF(AND(H79="Traité",OR(I79="",J79="")),"Dates manquantes",IF(AND(H79="Transmis",I79=""),"Transmission manquante",IF(AND(H79&lt;&gt;"Traité",Parametres!$B$7-B79&gt;1),"À relancer","OK")))))))</f>
        <v/>
      </c>
    </row>
    <row r="80" spans="1:11" ht="22" customHeight="1">
      <c r="A80" s="8"/>
      <c r="B80" s="8"/>
      <c r="C80" s="8"/>
      <c r="D80" s="8"/>
      <c r="E80" s="8"/>
      <c r="F80" s="9">
        <f>IF(E80="","",IFERROR(VLOOKUP(E80,Services!$A$2:$D$4,2,FALSE),"Service à corriger"))</f>
        <v/>
      </c>
      <c r="G80" s="8"/>
      <c r="H80" s="8"/>
      <c r="I80" s="8"/>
      <c r="J80" s="8"/>
      <c r="K80" s="9">
        <f>IF(A80="","",IF(COUNTIF($A$2:$A$301,A80)&gt;1,"DOUBLON",IF(OR(B80="",C80="",D80="",COUNTIF(ListeServices,E80)&lt;&gt;1,G80="",COUNTIF(ListeMessages,H80)&lt;&gt;1),"Saisie incomplète",IF(OR(AND(I80&lt;&gt;"",I80&lt;B80),AND(J80&lt;&gt;"",OR(I80="",J80&lt;I80)),B80&gt;Parametres!$B$7),"Dates à corriger",IF(AND(H80="Traité",OR(I80="",J80="")),"Dates manquantes",IF(AND(H80="Transmis",I80=""),"Transmission manquante",IF(AND(H80&lt;&gt;"Traité",Parametres!$B$7-B80&gt;1),"À relancer","OK")))))))</f>
        <v/>
      </c>
    </row>
    <row r="81" spans="1:11" ht="22" customHeight="1">
      <c r="A81" s="8"/>
      <c r="B81" s="8"/>
      <c r="C81" s="8"/>
      <c r="D81" s="8"/>
      <c r="E81" s="8"/>
      <c r="F81" s="9">
        <f>IF(E81="","",IFERROR(VLOOKUP(E81,Services!$A$2:$D$4,2,FALSE),"Service à corriger"))</f>
        <v/>
      </c>
      <c r="G81" s="8"/>
      <c r="H81" s="8"/>
      <c r="I81" s="8"/>
      <c r="J81" s="8"/>
      <c r="K81" s="9">
        <f>IF(A81="","",IF(COUNTIF($A$2:$A$301,A81)&gt;1,"DOUBLON",IF(OR(B81="",C81="",D81="",COUNTIF(ListeServices,E81)&lt;&gt;1,G81="",COUNTIF(ListeMessages,H81)&lt;&gt;1),"Saisie incomplète",IF(OR(AND(I81&lt;&gt;"",I81&lt;B81),AND(J81&lt;&gt;"",OR(I81="",J81&lt;I81)),B81&gt;Parametres!$B$7),"Dates à corriger",IF(AND(H81="Traité",OR(I81="",J81="")),"Dates manquantes",IF(AND(H81="Transmis",I81=""),"Transmission manquante",IF(AND(H81&lt;&gt;"Traité",Parametres!$B$7-B81&gt;1),"À relancer","OK")))))))</f>
        <v/>
      </c>
    </row>
    <row r="82" spans="1:11" ht="22" customHeight="1">
      <c r="A82" s="8"/>
      <c r="B82" s="8"/>
      <c r="C82" s="8"/>
      <c r="D82" s="8"/>
      <c r="E82" s="8"/>
      <c r="F82" s="9">
        <f>IF(E82="","",IFERROR(VLOOKUP(E82,Services!$A$2:$D$4,2,FALSE),"Service à corriger"))</f>
        <v/>
      </c>
      <c r="G82" s="8"/>
      <c r="H82" s="8"/>
      <c r="I82" s="8"/>
      <c r="J82" s="8"/>
      <c r="K82" s="9">
        <f>IF(A82="","",IF(COUNTIF($A$2:$A$301,A82)&gt;1,"DOUBLON",IF(OR(B82="",C82="",D82="",COUNTIF(ListeServices,E82)&lt;&gt;1,G82="",COUNTIF(ListeMessages,H82)&lt;&gt;1),"Saisie incomplète",IF(OR(AND(I82&lt;&gt;"",I82&lt;B82),AND(J82&lt;&gt;"",OR(I82="",J82&lt;I82)),B82&gt;Parametres!$B$7),"Dates à corriger",IF(AND(H82="Traité",OR(I82="",J82="")),"Dates manquantes",IF(AND(H82="Transmis",I82=""),"Transmission manquante",IF(AND(H82&lt;&gt;"Traité",Parametres!$B$7-B82&gt;1),"À relancer","OK")))))))</f>
        <v/>
      </c>
    </row>
    <row r="83" spans="1:11" ht="22" customHeight="1">
      <c r="A83" s="8"/>
      <c r="B83" s="8"/>
      <c r="C83" s="8"/>
      <c r="D83" s="8"/>
      <c r="E83" s="8"/>
      <c r="F83" s="9">
        <f>IF(E83="","",IFERROR(VLOOKUP(E83,Services!$A$2:$D$4,2,FALSE),"Service à corriger"))</f>
        <v/>
      </c>
      <c r="G83" s="8"/>
      <c r="H83" s="8"/>
      <c r="I83" s="8"/>
      <c r="J83" s="8"/>
      <c r="K83" s="9">
        <f>IF(A83="","",IF(COUNTIF($A$2:$A$301,A83)&gt;1,"DOUBLON",IF(OR(B83="",C83="",D83="",COUNTIF(ListeServices,E83)&lt;&gt;1,G83="",COUNTIF(ListeMessages,H83)&lt;&gt;1),"Saisie incomplète",IF(OR(AND(I83&lt;&gt;"",I83&lt;B83),AND(J83&lt;&gt;"",OR(I83="",J83&lt;I83)),B83&gt;Parametres!$B$7),"Dates à corriger",IF(AND(H83="Traité",OR(I83="",J83="")),"Dates manquantes",IF(AND(H83="Transmis",I83=""),"Transmission manquante",IF(AND(H83&lt;&gt;"Traité",Parametres!$B$7-B83&gt;1),"À relancer","OK")))))))</f>
        <v/>
      </c>
    </row>
    <row r="84" spans="1:11" ht="22" customHeight="1">
      <c r="A84" s="8"/>
      <c r="B84" s="8"/>
      <c r="C84" s="8"/>
      <c r="D84" s="8"/>
      <c r="E84" s="8"/>
      <c r="F84" s="9">
        <f>IF(E84="","",IFERROR(VLOOKUP(E84,Services!$A$2:$D$4,2,FALSE),"Service à corriger"))</f>
        <v/>
      </c>
      <c r="G84" s="8"/>
      <c r="H84" s="8"/>
      <c r="I84" s="8"/>
      <c r="J84" s="8"/>
      <c r="K84" s="9">
        <f>IF(A84="","",IF(COUNTIF($A$2:$A$301,A84)&gt;1,"DOUBLON",IF(OR(B84="",C84="",D84="",COUNTIF(ListeServices,E84)&lt;&gt;1,G84="",COUNTIF(ListeMessages,H84)&lt;&gt;1),"Saisie incomplète",IF(OR(AND(I84&lt;&gt;"",I84&lt;B84),AND(J84&lt;&gt;"",OR(I84="",J84&lt;I84)),B84&gt;Parametres!$B$7),"Dates à corriger",IF(AND(H84="Traité",OR(I84="",J84="")),"Dates manquantes",IF(AND(H84="Transmis",I84=""),"Transmission manquante",IF(AND(H84&lt;&gt;"Traité",Parametres!$B$7-B84&gt;1),"À relancer","OK")))))))</f>
        <v/>
      </c>
    </row>
    <row r="85" spans="1:11" ht="22" customHeight="1">
      <c r="A85" s="8"/>
      <c r="B85" s="8"/>
      <c r="C85" s="8"/>
      <c r="D85" s="8"/>
      <c r="E85" s="8"/>
      <c r="F85" s="9">
        <f>IF(E85="","",IFERROR(VLOOKUP(E85,Services!$A$2:$D$4,2,FALSE),"Service à corriger"))</f>
        <v/>
      </c>
      <c r="G85" s="8"/>
      <c r="H85" s="8"/>
      <c r="I85" s="8"/>
      <c r="J85" s="8"/>
      <c r="K85" s="9">
        <f>IF(A85="","",IF(COUNTIF($A$2:$A$301,A85)&gt;1,"DOUBLON",IF(OR(B85="",C85="",D85="",COUNTIF(ListeServices,E85)&lt;&gt;1,G85="",COUNTIF(ListeMessages,H85)&lt;&gt;1),"Saisie incomplète",IF(OR(AND(I85&lt;&gt;"",I85&lt;B85),AND(J85&lt;&gt;"",OR(I85="",J85&lt;I85)),B85&gt;Parametres!$B$7),"Dates à corriger",IF(AND(H85="Traité",OR(I85="",J85="")),"Dates manquantes",IF(AND(H85="Transmis",I85=""),"Transmission manquante",IF(AND(H85&lt;&gt;"Traité",Parametres!$B$7-B85&gt;1),"À relancer","OK")))))))</f>
        <v/>
      </c>
    </row>
    <row r="86" spans="1:11" ht="22" customHeight="1">
      <c r="A86" s="8"/>
      <c r="B86" s="8"/>
      <c r="C86" s="8"/>
      <c r="D86" s="8"/>
      <c r="E86" s="8"/>
      <c r="F86" s="9">
        <f>IF(E86="","",IFERROR(VLOOKUP(E86,Services!$A$2:$D$4,2,FALSE),"Service à corriger"))</f>
        <v/>
      </c>
      <c r="G86" s="8"/>
      <c r="H86" s="8"/>
      <c r="I86" s="8"/>
      <c r="J86" s="8"/>
      <c r="K86" s="9">
        <f>IF(A86="","",IF(COUNTIF($A$2:$A$301,A86)&gt;1,"DOUBLON",IF(OR(B86="",C86="",D86="",COUNTIF(ListeServices,E86)&lt;&gt;1,G86="",COUNTIF(ListeMessages,H86)&lt;&gt;1),"Saisie incomplète",IF(OR(AND(I86&lt;&gt;"",I86&lt;B86),AND(J86&lt;&gt;"",OR(I86="",J86&lt;I86)),B86&gt;Parametres!$B$7),"Dates à corriger",IF(AND(H86="Traité",OR(I86="",J86="")),"Dates manquantes",IF(AND(H86="Transmis",I86=""),"Transmission manquante",IF(AND(H86&lt;&gt;"Traité",Parametres!$B$7-B86&gt;1),"À relancer","OK")))))))</f>
        <v/>
      </c>
    </row>
    <row r="87" spans="1:11" ht="22" customHeight="1">
      <c r="A87" s="8"/>
      <c r="B87" s="8"/>
      <c r="C87" s="8"/>
      <c r="D87" s="8"/>
      <c r="E87" s="8"/>
      <c r="F87" s="9">
        <f>IF(E87="","",IFERROR(VLOOKUP(E87,Services!$A$2:$D$4,2,FALSE),"Service à corriger"))</f>
        <v/>
      </c>
      <c r="G87" s="8"/>
      <c r="H87" s="8"/>
      <c r="I87" s="8"/>
      <c r="J87" s="8"/>
      <c r="K87" s="9">
        <f>IF(A87="","",IF(COUNTIF($A$2:$A$301,A87)&gt;1,"DOUBLON",IF(OR(B87="",C87="",D87="",COUNTIF(ListeServices,E87)&lt;&gt;1,G87="",COUNTIF(ListeMessages,H87)&lt;&gt;1),"Saisie incomplète",IF(OR(AND(I87&lt;&gt;"",I87&lt;B87),AND(J87&lt;&gt;"",OR(I87="",J87&lt;I87)),B87&gt;Parametres!$B$7),"Dates à corriger",IF(AND(H87="Traité",OR(I87="",J87="")),"Dates manquantes",IF(AND(H87="Transmis",I87=""),"Transmission manquante",IF(AND(H87&lt;&gt;"Traité",Parametres!$B$7-B87&gt;1),"À relancer","OK")))))))</f>
        <v/>
      </c>
    </row>
    <row r="88" spans="1:11" ht="22" customHeight="1">
      <c r="A88" s="8"/>
      <c r="B88" s="8"/>
      <c r="C88" s="8"/>
      <c r="D88" s="8"/>
      <c r="E88" s="8"/>
      <c r="F88" s="9">
        <f>IF(E88="","",IFERROR(VLOOKUP(E88,Services!$A$2:$D$4,2,FALSE),"Service à corriger"))</f>
        <v/>
      </c>
      <c r="G88" s="8"/>
      <c r="H88" s="8"/>
      <c r="I88" s="8"/>
      <c r="J88" s="8"/>
      <c r="K88" s="9">
        <f>IF(A88="","",IF(COUNTIF($A$2:$A$301,A88)&gt;1,"DOUBLON",IF(OR(B88="",C88="",D88="",COUNTIF(ListeServices,E88)&lt;&gt;1,G88="",COUNTIF(ListeMessages,H88)&lt;&gt;1),"Saisie incomplète",IF(OR(AND(I88&lt;&gt;"",I88&lt;B88),AND(J88&lt;&gt;"",OR(I88="",J88&lt;I88)),B88&gt;Parametres!$B$7),"Dates à corriger",IF(AND(H88="Traité",OR(I88="",J88="")),"Dates manquantes",IF(AND(H88="Transmis",I88=""),"Transmission manquante",IF(AND(H88&lt;&gt;"Traité",Parametres!$B$7-B88&gt;1),"À relancer","OK")))))))</f>
        <v/>
      </c>
    </row>
    <row r="89" spans="1:11" ht="22" customHeight="1">
      <c r="A89" s="8"/>
      <c r="B89" s="8"/>
      <c r="C89" s="8"/>
      <c r="D89" s="8"/>
      <c r="E89" s="8"/>
      <c r="F89" s="9">
        <f>IF(E89="","",IFERROR(VLOOKUP(E89,Services!$A$2:$D$4,2,FALSE),"Service à corriger"))</f>
        <v/>
      </c>
      <c r="G89" s="8"/>
      <c r="H89" s="8"/>
      <c r="I89" s="8"/>
      <c r="J89" s="8"/>
      <c r="K89" s="9">
        <f>IF(A89="","",IF(COUNTIF($A$2:$A$301,A89)&gt;1,"DOUBLON",IF(OR(B89="",C89="",D89="",COUNTIF(ListeServices,E89)&lt;&gt;1,G89="",COUNTIF(ListeMessages,H89)&lt;&gt;1),"Saisie incomplète",IF(OR(AND(I89&lt;&gt;"",I89&lt;B89),AND(J89&lt;&gt;"",OR(I89="",J89&lt;I89)),B89&gt;Parametres!$B$7),"Dates à corriger",IF(AND(H89="Traité",OR(I89="",J89="")),"Dates manquantes",IF(AND(H89="Transmis",I89=""),"Transmission manquante",IF(AND(H89&lt;&gt;"Traité",Parametres!$B$7-B89&gt;1),"À relancer","OK")))))))</f>
        <v/>
      </c>
    </row>
    <row r="90" spans="1:11" ht="22" customHeight="1">
      <c r="A90" s="8"/>
      <c r="B90" s="8"/>
      <c r="C90" s="8"/>
      <c r="D90" s="8"/>
      <c r="E90" s="8"/>
      <c r="F90" s="9">
        <f>IF(E90="","",IFERROR(VLOOKUP(E90,Services!$A$2:$D$4,2,FALSE),"Service à corriger"))</f>
        <v/>
      </c>
      <c r="G90" s="8"/>
      <c r="H90" s="8"/>
      <c r="I90" s="8"/>
      <c r="J90" s="8"/>
      <c r="K90" s="9">
        <f>IF(A90="","",IF(COUNTIF($A$2:$A$301,A90)&gt;1,"DOUBLON",IF(OR(B90="",C90="",D90="",COUNTIF(ListeServices,E90)&lt;&gt;1,G90="",COUNTIF(ListeMessages,H90)&lt;&gt;1),"Saisie incomplète",IF(OR(AND(I90&lt;&gt;"",I90&lt;B90),AND(J90&lt;&gt;"",OR(I90="",J90&lt;I90)),B90&gt;Parametres!$B$7),"Dates à corriger",IF(AND(H90="Traité",OR(I90="",J90="")),"Dates manquantes",IF(AND(H90="Transmis",I90=""),"Transmission manquante",IF(AND(H90&lt;&gt;"Traité",Parametres!$B$7-B90&gt;1),"À relancer","OK")))))))</f>
        <v/>
      </c>
    </row>
    <row r="91" spans="1:11" ht="22" customHeight="1">
      <c r="A91" s="8"/>
      <c r="B91" s="8"/>
      <c r="C91" s="8"/>
      <c r="D91" s="8"/>
      <c r="E91" s="8"/>
      <c r="F91" s="9">
        <f>IF(E91="","",IFERROR(VLOOKUP(E91,Services!$A$2:$D$4,2,FALSE),"Service à corriger"))</f>
        <v/>
      </c>
      <c r="G91" s="8"/>
      <c r="H91" s="8"/>
      <c r="I91" s="8"/>
      <c r="J91" s="8"/>
      <c r="K91" s="9">
        <f>IF(A91="","",IF(COUNTIF($A$2:$A$301,A91)&gt;1,"DOUBLON",IF(OR(B91="",C91="",D91="",COUNTIF(ListeServices,E91)&lt;&gt;1,G91="",COUNTIF(ListeMessages,H91)&lt;&gt;1),"Saisie incomplète",IF(OR(AND(I91&lt;&gt;"",I91&lt;B91),AND(J91&lt;&gt;"",OR(I91="",J91&lt;I91)),B91&gt;Parametres!$B$7),"Dates à corriger",IF(AND(H91="Traité",OR(I91="",J91="")),"Dates manquantes",IF(AND(H91="Transmis",I91=""),"Transmission manquante",IF(AND(H91&lt;&gt;"Traité",Parametres!$B$7-B91&gt;1),"À relancer","OK")))))))</f>
        <v/>
      </c>
    </row>
    <row r="92" spans="1:11" ht="22" customHeight="1">
      <c r="A92" s="8"/>
      <c r="B92" s="8"/>
      <c r="C92" s="8"/>
      <c r="D92" s="8"/>
      <c r="E92" s="8"/>
      <c r="F92" s="9">
        <f>IF(E92="","",IFERROR(VLOOKUP(E92,Services!$A$2:$D$4,2,FALSE),"Service à corriger"))</f>
        <v/>
      </c>
      <c r="G92" s="8"/>
      <c r="H92" s="8"/>
      <c r="I92" s="8"/>
      <c r="J92" s="8"/>
      <c r="K92" s="9">
        <f>IF(A92="","",IF(COUNTIF($A$2:$A$301,A92)&gt;1,"DOUBLON",IF(OR(B92="",C92="",D92="",COUNTIF(ListeServices,E92)&lt;&gt;1,G92="",COUNTIF(ListeMessages,H92)&lt;&gt;1),"Saisie incomplète",IF(OR(AND(I92&lt;&gt;"",I92&lt;B92),AND(J92&lt;&gt;"",OR(I92="",J92&lt;I92)),B92&gt;Parametres!$B$7),"Dates à corriger",IF(AND(H92="Traité",OR(I92="",J92="")),"Dates manquantes",IF(AND(H92="Transmis",I92=""),"Transmission manquante",IF(AND(H92&lt;&gt;"Traité",Parametres!$B$7-B92&gt;1),"À relancer","OK")))))))</f>
        <v/>
      </c>
    </row>
    <row r="93" spans="1:11" ht="22" customHeight="1">
      <c r="A93" s="8"/>
      <c r="B93" s="8"/>
      <c r="C93" s="8"/>
      <c r="D93" s="8"/>
      <c r="E93" s="8"/>
      <c r="F93" s="9">
        <f>IF(E93="","",IFERROR(VLOOKUP(E93,Services!$A$2:$D$4,2,FALSE),"Service à corriger"))</f>
        <v/>
      </c>
      <c r="G93" s="8"/>
      <c r="H93" s="8"/>
      <c r="I93" s="8"/>
      <c r="J93" s="8"/>
      <c r="K93" s="9">
        <f>IF(A93="","",IF(COUNTIF($A$2:$A$301,A93)&gt;1,"DOUBLON",IF(OR(B93="",C93="",D93="",COUNTIF(ListeServices,E93)&lt;&gt;1,G93="",COUNTIF(ListeMessages,H93)&lt;&gt;1),"Saisie incomplète",IF(OR(AND(I93&lt;&gt;"",I93&lt;B93),AND(J93&lt;&gt;"",OR(I93="",J93&lt;I93)),B93&gt;Parametres!$B$7),"Dates à corriger",IF(AND(H93="Traité",OR(I93="",J93="")),"Dates manquantes",IF(AND(H93="Transmis",I93=""),"Transmission manquante",IF(AND(H93&lt;&gt;"Traité",Parametres!$B$7-B93&gt;1),"À relancer","OK")))))))</f>
        <v/>
      </c>
    </row>
    <row r="94" spans="1:11" ht="22" customHeight="1">
      <c r="A94" s="8"/>
      <c r="B94" s="8"/>
      <c r="C94" s="8"/>
      <c r="D94" s="8"/>
      <c r="E94" s="8"/>
      <c r="F94" s="9">
        <f>IF(E94="","",IFERROR(VLOOKUP(E94,Services!$A$2:$D$4,2,FALSE),"Service à corriger"))</f>
        <v/>
      </c>
      <c r="G94" s="8"/>
      <c r="H94" s="8"/>
      <c r="I94" s="8"/>
      <c r="J94" s="8"/>
      <c r="K94" s="9">
        <f>IF(A94="","",IF(COUNTIF($A$2:$A$301,A94)&gt;1,"DOUBLON",IF(OR(B94="",C94="",D94="",COUNTIF(ListeServices,E94)&lt;&gt;1,G94="",COUNTIF(ListeMessages,H94)&lt;&gt;1),"Saisie incomplète",IF(OR(AND(I94&lt;&gt;"",I94&lt;B94),AND(J94&lt;&gt;"",OR(I94="",J94&lt;I94)),B94&gt;Parametres!$B$7),"Dates à corriger",IF(AND(H94="Traité",OR(I94="",J94="")),"Dates manquantes",IF(AND(H94="Transmis",I94=""),"Transmission manquante",IF(AND(H94&lt;&gt;"Traité",Parametres!$B$7-B94&gt;1),"À relancer","OK")))))))</f>
        <v/>
      </c>
    </row>
    <row r="95" spans="1:11" ht="22" customHeight="1">
      <c r="A95" s="8"/>
      <c r="B95" s="8"/>
      <c r="C95" s="8"/>
      <c r="D95" s="8"/>
      <c r="E95" s="8"/>
      <c r="F95" s="9">
        <f>IF(E95="","",IFERROR(VLOOKUP(E95,Services!$A$2:$D$4,2,FALSE),"Service à corriger"))</f>
        <v/>
      </c>
      <c r="G95" s="8"/>
      <c r="H95" s="8"/>
      <c r="I95" s="8"/>
      <c r="J95" s="8"/>
      <c r="K95" s="9">
        <f>IF(A95="","",IF(COUNTIF($A$2:$A$301,A95)&gt;1,"DOUBLON",IF(OR(B95="",C95="",D95="",COUNTIF(ListeServices,E95)&lt;&gt;1,G95="",COUNTIF(ListeMessages,H95)&lt;&gt;1),"Saisie incomplète",IF(OR(AND(I95&lt;&gt;"",I95&lt;B95),AND(J95&lt;&gt;"",OR(I95="",J95&lt;I95)),B95&gt;Parametres!$B$7),"Dates à corriger",IF(AND(H95="Traité",OR(I95="",J95="")),"Dates manquantes",IF(AND(H95="Transmis",I95=""),"Transmission manquante",IF(AND(H95&lt;&gt;"Traité",Parametres!$B$7-B95&gt;1),"À relancer","OK")))))))</f>
        <v/>
      </c>
    </row>
    <row r="96" spans="1:11" ht="22" customHeight="1">
      <c r="A96" s="8"/>
      <c r="B96" s="8"/>
      <c r="C96" s="8"/>
      <c r="D96" s="8"/>
      <c r="E96" s="8"/>
      <c r="F96" s="9">
        <f>IF(E96="","",IFERROR(VLOOKUP(E96,Services!$A$2:$D$4,2,FALSE),"Service à corriger"))</f>
        <v/>
      </c>
      <c r="G96" s="8"/>
      <c r="H96" s="8"/>
      <c r="I96" s="8"/>
      <c r="J96" s="8"/>
      <c r="K96" s="9">
        <f>IF(A96="","",IF(COUNTIF($A$2:$A$301,A96)&gt;1,"DOUBLON",IF(OR(B96="",C96="",D96="",COUNTIF(ListeServices,E96)&lt;&gt;1,G96="",COUNTIF(ListeMessages,H96)&lt;&gt;1),"Saisie incomplète",IF(OR(AND(I96&lt;&gt;"",I96&lt;B96),AND(J96&lt;&gt;"",OR(I96="",J96&lt;I96)),B96&gt;Parametres!$B$7),"Dates à corriger",IF(AND(H96="Traité",OR(I96="",J96="")),"Dates manquantes",IF(AND(H96="Transmis",I96=""),"Transmission manquante",IF(AND(H96&lt;&gt;"Traité",Parametres!$B$7-B96&gt;1),"À relancer","OK")))))))</f>
        <v/>
      </c>
    </row>
    <row r="97" spans="1:11" ht="22" customHeight="1">
      <c r="A97" s="8"/>
      <c r="B97" s="8"/>
      <c r="C97" s="8"/>
      <c r="D97" s="8"/>
      <c r="E97" s="8"/>
      <c r="F97" s="9">
        <f>IF(E97="","",IFERROR(VLOOKUP(E97,Services!$A$2:$D$4,2,FALSE),"Service à corriger"))</f>
        <v/>
      </c>
      <c r="G97" s="8"/>
      <c r="H97" s="8"/>
      <c r="I97" s="8"/>
      <c r="J97" s="8"/>
      <c r="K97" s="9">
        <f>IF(A97="","",IF(COUNTIF($A$2:$A$301,A97)&gt;1,"DOUBLON",IF(OR(B97="",C97="",D97="",COUNTIF(ListeServices,E97)&lt;&gt;1,G97="",COUNTIF(ListeMessages,H97)&lt;&gt;1),"Saisie incomplète",IF(OR(AND(I97&lt;&gt;"",I97&lt;B97),AND(J97&lt;&gt;"",OR(I97="",J97&lt;I97)),B97&gt;Parametres!$B$7),"Dates à corriger",IF(AND(H97="Traité",OR(I97="",J97="")),"Dates manquantes",IF(AND(H97="Transmis",I97=""),"Transmission manquante",IF(AND(H97&lt;&gt;"Traité",Parametres!$B$7-B97&gt;1),"À relancer","OK")))))))</f>
        <v/>
      </c>
    </row>
    <row r="98" spans="1:11" ht="22" customHeight="1">
      <c r="A98" s="8"/>
      <c r="B98" s="8"/>
      <c r="C98" s="8"/>
      <c r="D98" s="8"/>
      <c r="E98" s="8"/>
      <c r="F98" s="9">
        <f>IF(E98="","",IFERROR(VLOOKUP(E98,Services!$A$2:$D$4,2,FALSE),"Service à corriger"))</f>
        <v/>
      </c>
      <c r="G98" s="8"/>
      <c r="H98" s="8"/>
      <c r="I98" s="8"/>
      <c r="J98" s="8"/>
      <c r="K98" s="9">
        <f>IF(A98="","",IF(COUNTIF($A$2:$A$301,A98)&gt;1,"DOUBLON",IF(OR(B98="",C98="",D98="",COUNTIF(ListeServices,E98)&lt;&gt;1,G98="",COUNTIF(ListeMessages,H98)&lt;&gt;1),"Saisie incomplète",IF(OR(AND(I98&lt;&gt;"",I98&lt;B98),AND(J98&lt;&gt;"",OR(I98="",J98&lt;I98)),B98&gt;Parametres!$B$7),"Dates à corriger",IF(AND(H98="Traité",OR(I98="",J98="")),"Dates manquantes",IF(AND(H98="Transmis",I98=""),"Transmission manquante",IF(AND(H98&lt;&gt;"Traité",Parametres!$B$7-B98&gt;1),"À relancer","OK")))))))</f>
        <v/>
      </c>
    </row>
    <row r="99" spans="1:11" ht="22" customHeight="1">
      <c r="A99" s="8"/>
      <c r="B99" s="8"/>
      <c r="C99" s="8"/>
      <c r="D99" s="8"/>
      <c r="E99" s="8"/>
      <c r="F99" s="9">
        <f>IF(E99="","",IFERROR(VLOOKUP(E99,Services!$A$2:$D$4,2,FALSE),"Service à corriger"))</f>
        <v/>
      </c>
      <c r="G99" s="8"/>
      <c r="H99" s="8"/>
      <c r="I99" s="8"/>
      <c r="J99" s="8"/>
      <c r="K99" s="9">
        <f>IF(A99="","",IF(COUNTIF($A$2:$A$301,A99)&gt;1,"DOUBLON",IF(OR(B99="",C99="",D99="",COUNTIF(ListeServices,E99)&lt;&gt;1,G99="",COUNTIF(ListeMessages,H99)&lt;&gt;1),"Saisie incomplète",IF(OR(AND(I99&lt;&gt;"",I99&lt;B99),AND(J99&lt;&gt;"",OR(I99="",J99&lt;I99)),B99&gt;Parametres!$B$7),"Dates à corriger",IF(AND(H99="Traité",OR(I99="",J99="")),"Dates manquantes",IF(AND(H99="Transmis",I99=""),"Transmission manquante",IF(AND(H99&lt;&gt;"Traité",Parametres!$B$7-B99&gt;1),"À relancer","OK")))))))</f>
        <v/>
      </c>
    </row>
    <row r="100" spans="1:11" ht="22" customHeight="1">
      <c r="A100" s="8"/>
      <c r="B100" s="8"/>
      <c r="C100" s="8"/>
      <c r="D100" s="8"/>
      <c r="E100" s="8"/>
      <c r="F100" s="9">
        <f>IF(E100="","",IFERROR(VLOOKUP(E100,Services!$A$2:$D$4,2,FALSE),"Service à corriger"))</f>
        <v/>
      </c>
      <c r="G100" s="8"/>
      <c r="H100" s="8"/>
      <c r="I100" s="8"/>
      <c r="J100" s="8"/>
      <c r="K100" s="9">
        <f>IF(A100="","",IF(COUNTIF($A$2:$A$301,A100)&gt;1,"DOUBLON",IF(OR(B100="",C100="",D100="",COUNTIF(ListeServices,E100)&lt;&gt;1,G100="",COUNTIF(ListeMessages,H100)&lt;&gt;1),"Saisie incomplète",IF(OR(AND(I100&lt;&gt;"",I100&lt;B100),AND(J100&lt;&gt;"",OR(I100="",J100&lt;I100)),B100&gt;Parametres!$B$7),"Dates à corriger",IF(AND(H100="Traité",OR(I100="",J100="")),"Dates manquantes",IF(AND(H100="Transmis",I100=""),"Transmission manquante",IF(AND(H100&lt;&gt;"Traité",Parametres!$B$7-B100&gt;1),"À relancer","OK")))))))</f>
        <v/>
      </c>
    </row>
    <row r="101" spans="1:11" ht="22" customHeight="1">
      <c r="A101" s="8"/>
      <c r="B101" s="8"/>
      <c r="C101" s="8"/>
      <c r="D101" s="8"/>
      <c r="E101" s="8"/>
      <c r="F101" s="9">
        <f>IF(E101="","",IFERROR(VLOOKUP(E101,Services!$A$2:$D$4,2,FALSE),"Service à corriger"))</f>
        <v/>
      </c>
      <c r="G101" s="8"/>
      <c r="H101" s="8"/>
      <c r="I101" s="8"/>
      <c r="J101" s="8"/>
      <c r="K101" s="9">
        <f>IF(A101="","",IF(COUNTIF($A$2:$A$301,A101)&gt;1,"DOUBLON",IF(OR(B101="",C101="",D101="",COUNTIF(ListeServices,E101)&lt;&gt;1,G101="",COUNTIF(ListeMessages,H101)&lt;&gt;1),"Saisie incomplète",IF(OR(AND(I101&lt;&gt;"",I101&lt;B101),AND(J101&lt;&gt;"",OR(I101="",J101&lt;I101)),B101&gt;Parametres!$B$7),"Dates à corriger",IF(AND(H101="Traité",OR(I101="",J101="")),"Dates manquantes",IF(AND(H101="Transmis",I101=""),"Transmission manquante",IF(AND(H101&lt;&gt;"Traité",Parametres!$B$7-B101&gt;1),"À relancer","OK")))))))</f>
        <v/>
      </c>
    </row>
    <row r="102" spans="1:11" ht="22" customHeight="1">
      <c r="A102" s="8"/>
      <c r="B102" s="8"/>
      <c r="C102" s="8"/>
      <c r="D102" s="8"/>
      <c r="E102" s="8"/>
      <c r="F102" s="9">
        <f>IF(E102="","",IFERROR(VLOOKUP(E102,Services!$A$2:$D$4,2,FALSE),"Service à corriger"))</f>
        <v/>
      </c>
      <c r="G102" s="8"/>
      <c r="H102" s="8"/>
      <c r="I102" s="8"/>
      <c r="J102" s="8"/>
      <c r="K102" s="9">
        <f>IF(A102="","",IF(COUNTIF($A$2:$A$301,A102)&gt;1,"DOUBLON",IF(OR(B102="",C102="",D102="",COUNTIF(ListeServices,E102)&lt;&gt;1,G102="",COUNTIF(ListeMessages,H102)&lt;&gt;1),"Saisie incomplète",IF(OR(AND(I102&lt;&gt;"",I102&lt;B102),AND(J102&lt;&gt;"",OR(I102="",J102&lt;I102)),B102&gt;Parametres!$B$7),"Dates à corriger",IF(AND(H102="Traité",OR(I102="",J102="")),"Dates manquantes",IF(AND(H102="Transmis",I102=""),"Transmission manquante",IF(AND(H102&lt;&gt;"Traité",Parametres!$B$7-B102&gt;1),"À relancer","OK")))))))</f>
        <v/>
      </c>
    </row>
    <row r="103" spans="1:11" ht="22" customHeight="1">
      <c r="A103" s="8"/>
      <c r="B103" s="8"/>
      <c r="C103" s="8"/>
      <c r="D103" s="8"/>
      <c r="E103" s="8"/>
      <c r="F103" s="9">
        <f>IF(E103="","",IFERROR(VLOOKUP(E103,Services!$A$2:$D$4,2,FALSE),"Service à corriger"))</f>
        <v/>
      </c>
      <c r="G103" s="8"/>
      <c r="H103" s="8"/>
      <c r="I103" s="8"/>
      <c r="J103" s="8"/>
      <c r="K103" s="9">
        <f>IF(A103="","",IF(COUNTIF($A$2:$A$301,A103)&gt;1,"DOUBLON",IF(OR(B103="",C103="",D103="",COUNTIF(ListeServices,E103)&lt;&gt;1,G103="",COUNTIF(ListeMessages,H103)&lt;&gt;1),"Saisie incomplète",IF(OR(AND(I103&lt;&gt;"",I103&lt;B103),AND(J103&lt;&gt;"",OR(I103="",J103&lt;I103)),B103&gt;Parametres!$B$7),"Dates à corriger",IF(AND(H103="Traité",OR(I103="",J103="")),"Dates manquantes",IF(AND(H103="Transmis",I103=""),"Transmission manquante",IF(AND(H103&lt;&gt;"Traité",Parametres!$B$7-B103&gt;1),"À relancer","OK")))))))</f>
        <v/>
      </c>
    </row>
    <row r="104" spans="1:11" ht="22" customHeight="1">
      <c r="A104" s="8"/>
      <c r="B104" s="8"/>
      <c r="C104" s="8"/>
      <c r="D104" s="8"/>
      <c r="E104" s="8"/>
      <c r="F104" s="9">
        <f>IF(E104="","",IFERROR(VLOOKUP(E104,Services!$A$2:$D$4,2,FALSE),"Service à corriger"))</f>
        <v/>
      </c>
      <c r="G104" s="8"/>
      <c r="H104" s="8"/>
      <c r="I104" s="8"/>
      <c r="J104" s="8"/>
      <c r="K104" s="9">
        <f>IF(A104="","",IF(COUNTIF($A$2:$A$301,A104)&gt;1,"DOUBLON",IF(OR(B104="",C104="",D104="",COUNTIF(ListeServices,E104)&lt;&gt;1,G104="",COUNTIF(ListeMessages,H104)&lt;&gt;1),"Saisie incomplète",IF(OR(AND(I104&lt;&gt;"",I104&lt;B104),AND(J104&lt;&gt;"",OR(I104="",J104&lt;I104)),B104&gt;Parametres!$B$7),"Dates à corriger",IF(AND(H104="Traité",OR(I104="",J104="")),"Dates manquantes",IF(AND(H104="Transmis",I104=""),"Transmission manquante",IF(AND(H104&lt;&gt;"Traité",Parametres!$B$7-B104&gt;1),"À relancer","OK")))))))</f>
        <v/>
      </c>
    </row>
    <row r="105" spans="1:11" ht="22" customHeight="1">
      <c r="A105" s="8"/>
      <c r="B105" s="8"/>
      <c r="C105" s="8"/>
      <c r="D105" s="8"/>
      <c r="E105" s="8"/>
      <c r="F105" s="9">
        <f>IF(E105="","",IFERROR(VLOOKUP(E105,Services!$A$2:$D$4,2,FALSE),"Service à corriger"))</f>
        <v/>
      </c>
      <c r="G105" s="8"/>
      <c r="H105" s="8"/>
      <c r="I105" s="8"/>
      <c r="J105" s="8"/>
      <c r="K105" s="9">
        <f>IF(A105="","",IF(COUNTIF($A$2:$A$301,A105)&gt;1,"DOUBLON",IF(OR(B105="",C105="",D105="",COUNTIF(ListeServices,E105)&lt;&gt;1,G105="",COUNTIF(ListeMessages,H105)&lt;&gt;1),"Saisie incomplète",IF(OR(AND(I105&lt;&gt;"",I105&lt;B105),AND(J105&lt;&gt;"",OR(I105="",J105&lt;I105)),B105&gt;Parametres!$B$7),"Dates à corriger",IF(AND(H105="Traité",OR(I105="",J105="")),"Dates manquantes",IF(AND(H105="Transmis",I105=""),"Transmission manquante",IF(AND(H105&lt;&gt;"Traité",Parametres!$B$7-B105&gt;1),"À relancer","OK")))))))</f>
        <v/>
      </c>
    </row>
    <row r="106" spans="1:11" ht="22" customHeight="1">
      <c r="A106" s="8"/>
      <c r="B106" s="8"/>
      <c r="C106" s="8"/>
      <c r="D106" s="8"/>
      <c r="E106" s="8"/>
      <c r="F106" s="9">
        <f>IF(E106="","",IFERROR(VLOOKUP(E106,Services!$A$2:$D$4,2,FALSE),"Service à corriger"))</f>
        <v/>
      </c>
      <c r="G106" s="8"/>
      <c r="H106" s="8"/>
      <c r="I106" s="8"/>
      <c r="J106" s="8"/>
      <c r="K106" s="9">
        <f>IF(A106="","",IF(COUNTIF($A$2:$A$301,A106)&gt;1,"DOUBLON",IF(OR(B106="",C106="",D106="",COUNTIF(ListeServices,E106)&lt;&gt;1,G106="",COUNTIF(ListeMessages,H106)&lt;&gt;1),"Saisie incomplète",IF(OR(AND(I106&lt;&gt;"",I106&lt;B106),AND(J106&lt;&gt;"",OR(I106="",J106&lt;I106)),B106&gt;Parametres!$B$7),"Dates à corriger",IF(AND(H106="Traité",OR(I106="",J106="")),"Dates manquantes",IF(AND(H106="Transmis",I106=""),"Transmission manquante",IF(AND(H106&lt;&gt;"Traité",Parametres!$B$7-B106&gt;1),"À relancer","OK")))))))</f>
        <v/>
      </c>
    </row>
    <row r="107" spans="1:11" ht="22" customHeight="1">
      <c r="A107" s="8"/>
      <c r="B107" s="8"/>
      <c r="C107" s="8"/>
      <c r="D107" s="8"/>
      <c r="E107" s="8"/>
      <c r="F107" s="9">
        <f>IF(E107="","",IFERROR(VLOOKUP(E107,Services!$A$2:$D$4,2,FALSE),"Service à corriger"))</f>
        <v/>
      </c>
      <c r="G107" s="8"/>
      <c r="H107" s="8"/>
      <c r="I107" s="8"/>
      <c r="J107" s="8"/>
      <c r="K107" s="9">
        <f>IF(A107="","",IF(COUNTIF($A$2:$A$301,A107)&gt;1,"DOUBLON",IF(OR(B107="",C107="",D107="",COUNTIF(ListeServices,E107)&lt;&gt;1,G107="",COUNTIF(ListeMessages,H107)&lt;&gt;1),"Saisie incomplète",IF(OR(AND(I107&lt;&gt;"",I107&lt;B107),AND(J107&lt;&gt;"",OR(I107="",J107&lt;I107)),B107&gt;Parametres!$B$7),"Dates à corriger",IF(AND(H107="Traité",OR(I107="",J107="")),"Dates manquantes",IF(AND(H107="Transmis",I107=""),"Transmission manquante",IF(AND(H107&lt;&gt;"Traité",Parametres!$B$7-B107&gt;1),"À relancer","OK")))))))</f>
        <v/>
      </c>
    </row>
    <row r="108" spans="1:11" ht="22" customHeight="1">
      <c r="A108" s="8"/>
      <c r="B108" s="8"/>
      <c r="C108" s="8"/>
      <c r="D108" s="8"/>
      <c r="E108" s="8"/>
      <c r="F108" s="9">
        <f>IF(E108="","",IFERROR(VLOOKUP(E108,Services!$A$2:$D$4,2,FALSE),"Service à corriger"))</f>
        <v/>
      </c>
      <c r="G108" s="8"/>
      <c r="H108" s="8"/>
      <c r="I108" s="8"/>
      <c r="J108" s="8"/>
      <c r="K108" s="9">
        <f>IF(A108="","",IF(COUNTIF($A$2:$A$301,A108)&gt;1,"DOUBLON",IF(OR(B108="",C108="",D108="",COUNTIF(ListeServices,E108)&lt;&gt;1,G108="",COUNTIF(ListeMessages,H108)&lt;&gt;1),"Saisie incomplète",IF(OR(AND(I108&lt;&gt;"",I108&lt;B108),AND(J108&lt;&gt;"",OR(I108="",J108&lt;I108)),B108&gt;Parametres!$B$7),"Dates à corriger",IF(AND(H108="Traité",OR(I108="",J108="")),"Dates manquantes",IF(AND(H108="Transmis",I108=""),"Transmission manquante",IF(AND(H108&lt;&gt;"Traité",Parametres!$B$7-B108&gt;1),"À relancer","OK")))))))</f>
        <v/>
      </c>
    </row>
    <row r="109" spans="1:11" ht="22" customHeight="1">
      <c r="A109" s="8"/>
      <c r="B109" s="8"/>
      <c r="C109" s="8"/>
      <c r="D109" s="8"/>
      <c r="E109" s="8"/>
      <c r="F109" s="9">
        <f>IF(E109="","",IFERROR(VLOOKUP(E109,Services!$A$2:$D$4,2,FALSE),"Service à corriger"))</f>
        <v/>
      </c>
      <c r="G109" s="8"/>
      <c r="H109" s="8"/>
      <c r="I109" s="8"/>
      <c r="J109" s="8"/>
      <c r="K109" s="9">
        <f>IF(A109="","",IF(COUNTIF($A$2:$A$301,A109)&gt;1,"DOUBLON",IF(OR(B109="",C109="",D109="",COUNTIF(ListeServices,E109)&lt;&gt;1,G109="",COUNTIF(ListeMessages,H109)&lt;&gt;1),"Saisie incomplète",IF(OR(AND(I109&lt;&gt;"",I109&lt;B109),AND(J109&lt;&gt;"",OR(I109="",J109&lt;I109)),B109&gt;Parametres!$B$7),"Dates à corriger",IF(AND(H109="Traité",OR(I109="",J109="")),"Dates manquantes",IF(AND(H109="Transmis",I109=""),"Transmission manquante",IF(AND(H109&lt;&gt;"Traité",Parametres!$B$7-B109&gt;1),"À relancer","OK")))))))</f>
        <v/>
      </c>
    </row>
    <row r="110" spans="1:11" ht="22" customHeight="1">
      <c r="A110" s="8"/>
      <c r="B110" s="8"/>
      <c r="C110" s="8"/>
      <c r="D110" s="8"/>
      <c r="E110" s="8"/>
      <c r="F110" s="9">
        <f>IF(E110="","",IFERROR(VLOOKUP(E110,Services!$A$2:$D$4,2,FALSE),"Service à corriger"))</f>
        <v/>
      </c>
      <c r="G110" s="8"/>
      <c r="H110" s="8"/>
      <c r="I110" s="8"/>
      <c r="J110" s="8"/>
      <c r="K110" s="9">
        <f>IF(A110="","",IF(COUNTIF($A$2:$A$301,A110)&gt;1,"DOUBLON",IF(OR(B110="",C110="",D110="",COUNTIF(ListeServices,E110)&lt;&gt;1,G110="",COUNTIF(ListeMessages,H110)&lt;&gt;1),"Saisie incomplète",IF(OR(AND(I110&lt;&gt;"",I110&lt;B110),AND(J110&lt;&gt;"",OR(I110="",J110&lt;I110)),B110&gt;Parametres!$B$7),"Dates à corriger",IF(AND(H110="Traité",OR(I110="",J110="")),"Dates manquantes",IF(AND(H110="Transmis",I110=""),"Transmission manquante",IF(AND(H110&lt;&gt;"Traité",Parametres!$B$7-B110&gt;1),"À relancer","OK")))))))</f>
        <v/>
      </c>
    </row>
    <row r="111" spans="1:11" ht="22" customHeight="1">
      <c r="A111" s="8"/>
      <c r="B111" s="8"/>
      <c r="C111" s="8"/>
      <c r="D111" s="8"/>
      <c r="E111" s="8"/>
      <c r="F111" s="9">
        <f>IF(E111="","",IFERROR(VLOOKUP(E111,Services!$A$2:$D$4,2,FALSE),"Service à corriger"))</f>
        <v/>
      </c>
      <c r="G111" s="8"/>
      <c r="H111" s="8"/>
      <c r="I111" s="8"/>
      <c r="J111" s="8"/>
      <c r="K111" s="9">
        <f>IF(A111="","",IF(COUNTIF($A$2:$A$301,A111)&gt;1,"DOUBLON",IF(OR(B111="",C111="",D111="",COUNTIF(ListeServices,E111)&lt;&gt;1,G111="",COUNTIF(ListeMessages,H111)&lt;&gt;1),"Saisie incomplète",IF(OR(AND(I111&lt;&gt;"",I111&lt;B111),AND(J111&lt;&gt;"",OR(I111="",J111&lt;I111)),B111&gt;Parametres!$B$7),"Dates à corriger",IF(AND(H111="Traité",OR(I111="",J111="")),"Dates manquantes",IF(AND(H111="Transmis",I111=""),"Transmission manquante",IF(AND(H111&lt;&gt;"Traité",Parametres!$B$7-B111&gt;1),"À relancer","OK")))))))</f>
        <v/>
      </c>
    </row>
    <row r="112" spans="1:11" ht="22" customHeight="1">
      <c r="A112" s="8"/>
      <c r="B112" s="8"/>
      <c r="C112" s="8"/>
      <c r="D112" s="8"/>
      <c r="E112" s="8"/>
      <c r="F112" s="9">
        <f>IF(E112="","",IFERROR(VLOOKUP(E112,Services!$A$2:$D$4,2,FALSE),"Service à corriger"))</f>
        <v/>
      </c>
      <c r="G112" s="8"/>
      <c r="H112" s="8"/>
      <c r="I112" s="8"/>
      <c r="J112" s="8"/>
      <c r="K112" s="9">
        <f>IF(A112="","",IF(COUNTIF($A$2:$A$301,A112)&gt;1,"DOUBLON",IF(OR(B112="",C112="",D112="",COUNTIF(ListeServices,E112)&lt;&gt;1,G112="",COUNTIF(ListeMessages,H112)&lt;&gt;1),"Saisie incomplète",IF(OR(AND(I112&lt;&gt;"",I112&lt;B112),AND(J112&lt;&gt;"",OR(I112="",J112&lt;I112)),B112&gt;Parametres!$B$7),"Dates à corriger",IF(AND(H112="Traité",OR(I112="",J112="")),"Dates manquantes",IF(AND(H112="Transmis",I112=""),"Transmission manquante",IF(AND(H112&lt;&gt;"Traité",Parametres!$B$7-B112&gt;1),"À relancer","OK")))))))</f>
        <v/>
      </c>
    </row>
    <row r="113" spans="1:11" ht="22" customHeight="1">
      <c r="A113" s="8"/>
      <c r="B113" s="8"/>
      <c r="C113" s="8"/>
      <c r="D113" s="8"/>
      <c r="E113" s="8"/>
      <c r="F113" s="9">
        <f>IF(E113="","",IFERROR(VLOOKUP(E113,Services!$A$2:$D$4,2,FALSE),"Service à corriger"))</f>
        <v/>
      </c>
      <c r="G113" s="8"/>
      <c r="H113" s="8"/>
      <c r="I113" s="8"/>
      <c r="J113" s="8"/>
      <c r="K113" s="9">
        <f>IF(A113="","",IF(COUNTIF($A$2:$A$301,A113)&gt;1,"DOUBLON",IF(OR(B113="",C113="",D113="",COUNTIF(ListeServices,E113)&lt;&gt;1,G113="",COUNTIF(ListeMessages,H113)&lt;&gt;1),"Saisie incomplète",IF(OR(AND(I113&lt;&gt;"",I113&lt;B113),AND(J113&lt;&gt;"",OR(I113="",J113&lt;I113)),B113&gt;Parametres!$B$7),"Dates à corriger",IF(AND(H113="Traité",OR(I113="",J113="")),"Dates manquantes",IF(AND(H113="Transmis",I113=""),"Transmission manquante",IF(AND(H113&lt;&gt;"Traité",Parametres!$B$7-B113&gt;1),"À relancer","OK")))))))</f>
        <v/>
      </c>
    </row>
    <row r="114" spans="1:11" ht="22" customHeight="1">
      <c r="A114" s="8"/>
      <c r="B114" s="8"/>
      <c r="C114" s="8"/>
      <c r="D114" s="8"/>
      <c r="E114" s="8"/>
      <c r="F114" s="9">
        <f>IF(E114="","",IFERROR(VLOOKUP(E114,Services!$A$2:$D$4,2,FALSE),"Service à corriger"))</f>
        <v/>
      </c>
      <c r="G114" s="8"/>
      <c r="H114" s="8"/>
      <c r="I114" s="8"/>
      <c r="J114" s="8"/>
      <c r="K114" s="9">
        <f>IF(A114="","",IF(COUNTIF($A$2:$A$301,A114)&gt;1,"DOUBLON",IF(OR(B114="",C114="",D114="",COUNTIF(ListeServices,E114)&lt;&gt;1,G114="",COUNTIF(ListeMessages,H114)&lt;&gt;1),"Saisie incomplète",IF(OR(AND(I114&lt;&gt;"",I114&lt;B114),AND(J114&lt;&gt;"",OR(I114="",J114&lt;I114)),B114&gt;Parametres!$B$7),"Dates à corriger",IF(AND(H114="Traité",OR(I114="",J114="")),"Dates manquantes",IF(AND(H114="Transmis",I114=""),"Transmission manquante",IF(AND(H114&lt;&gt;"Traité",Parametres!$B$7-B114&gt;1),"À relancer","OK")))))))</f>
        <v/>
      </c>
    </row>
    <row r="115" spans="1:11" ht="22" customHeight="1">
      <c r="A115" s="8"/>
      <c r="B115" s="8"/>
      <c r="C115" s="8"/>
      <c r="D115" s="8"/>
      <c r="E115" s="8"/>
      <c r="F115" s="9">
        <f>IF(E115="","",IFERROR(VLOOKUP(E115,Services!$A$2:$D$4,2,FALSE),"Service à corriger"))</f>
        <v/>
      </c>
      <c r="G115" s="8"/>
      <c r="H115" s="8"/>
      <c r="I115" s="8"/>
      <c r="J115" s="8"/>
      <c r="K115" s="9">
        <f>IF(A115="","",IF(COUNTIF($A$2:$A$301,A115)&gt;1,"DOUBLON",IF(OR(B115="",C115="",D115="",COUNTIF(ListeServices,E115)&lt;&gt;1,G115="",COUNTIF(ListeMessages,H115)&lt;&gt;1),"Saisie incomplète",IF(OR(AND(I115&lt;&gt;"",I115&lt;B115),AND(J115&lt;&gt;"",OR(I115="",J115&lt;I115)),B115&gt;Parametres!$B$7),"Dates à corriger",IF(AND(H115="Traité",OR(I115="",J115="")),"Dates manquantes",IF(AND(H115="Transmis",I115=""),"Transmission manquante",IF(AND(H115&lt;&gt;"Traité",Parametres!$B$7-B115&gt;1),"À relancer","OK")))))))</f>
        <v/>
      </c>
    </row>
    <row r="116" spans="1:11" ht="22" customHeight="1">
      <c r="A116" s="8"/>
      <c r="B116" s="8"/>
      <c r="C116" s="8"/>
      <c r="D116" s="8"/>
      <c r="E116" s="8"/>
      <c r="F116" s="9">
        <f>IF(E116="","",IFERROR(VLOOKUP(E116,Services!$A$2:$D$4,2,FALSE),"Service à corriger"))</f>
        <v/>
      </c>
      <c r="G116" s="8"/>
      <c r="H116" s="8"/>
      <c r="I116" s="8"/>
      <c r="J116" s="8"/>
      <c r="K116" s="9">
        <f>IF(A116="","",IF(COUNTIF($A$2:$A$301,A116)&gt;1,"DOUBLON",IF(OR(B116="",C116="",D116="",COUNTIF(ListeServices,E116)&lt;&gt;1,G116="",COUNTIF(ListeMessages,H116)&lt;&gt;1),"Saisie incomplète",IF(OR(AND(I116&lt;&gt;"",I116&lt;B116),AND(J116&lt;&gt;"",OR(I116="",J116&lt;I116)),B116&gt;Parametres!$B$7),"Dates à corriger",IF(AND(H116="Traité",OR(I116="",J116="")),"Dates manquantes",IF(AND(H116="Transmis",I116=""),"Transmission manquante",IF(AND(H116&lt;&gt;"Traité",Parametres!$B$7-B116&gt;1),"À relancer","OK")))))))</f>
        <v/>
      </c>
    </row>
    <row r="117" spans="1:11" ht="22" customHeight="1">
      <c r="A117" s="8"/>
      <c r="B117" s="8"/>
      <c r="C117" s="8"/>
      <c r="D117" s="8"/>
      <c r="E117" s="8"/>
      <c r="F117" s="9">
        <f>IF(E117="","",IFERROR(VLOOKUP(E117,Services!$A$2:$D$4,2,FALSE),"Service à corriger"))</f>
        <v/>
      </c>
      <c r="G117" s="8"/>
      <c r="H117" s="8"/>
      <c r="I117" s="8"/>
      <c r="J117" s="8"/>
      <c r="K117" s="9">
        <f>IF(A117="","",IF(COUNTIF($A$2:$A$301,A117)&gt;1,"DOUBLON",IF(OR(B117="",C117="",D117="",COUNTIF(ListeServices,E117)&lt;&gt;1,G117="",COUNTIF(ListeMessages,H117)&lt;&gt;1),"Saisie incomplète",IF(OR(AND(I117&lt;&gt;"",I117&lt;B117),AND(J117&lt;&gt;"",OR(I117="",J117&lt;I117)),B117&gt;Parametres!$B$7),"Dates à corriger",IF(AND(H117="Traité",OR(I117="",J117="")),"Dates manquantes",IF(AND(H117="Transmis",I117=""),"Transmission manquante",IF(AND(H117&lt;&gt;"Traité",Parametres!$B$7-B117&gt;1),"À relancer","OK")))))))</f>
        <v/>
      </c>
    </row>
    <row r="118" spans="1:11" ht="22" customHeight="1">
      <c r="A118" s="8"/>
      <c r="B118" s="8"/>
      <c r="C118" s="8"/>
      <c r="D118" s="8"/>
      <c r="E118" s="8"/>
      <c r="F118" s="9">
        <f>IF(E118="","",IFERROR(VLOOKUP(E118,Services!$A$2:$D$4,2,FALSE),"Service à corriger"))</f>
        <v/>
      </c>
      <c r="G118" s="8"/>
      <c r="H118" s="8"/>
      <c r="I118" s="8"/>
      <c r="J118" s="8"/>
      <c r="K118" s="9">
        <f>IF(A118="","",IF(COUNTIF($A$2:$A$301,A118)&gt;1,"DOUBLON",IF(OR(B118="",C118="",D118="",COUNTIF(ListeServices,E118)&lt;&gt;1,G118="",COUNTIF(ListeMessages,H118)&lt;&gt;1),"Saisie incomplète",IF(OR(AND(I118&lt;&gt;"",I118&lt;B118),AND(J118&lt;&gt;"",OR(I118="",J118&lt;I118)),B118&gt;Parametres!$B$7),"Dates à corriger",IF(AND(H118="Traité",OR(I118="",J118="")),"Dates manquantes",IF(AND(H118="Transmis",I118=""),"Transmission manquante",IF(AND(H118&lt;&gt;"Traité",Parametres!$B$7-B118&gt;1),"À relancer","OK")))))))</f>
        <v/>
      </c>
    </row>
    <row r="119" spans="1:11" ht="22" customHeight="1">
      <c r="A119" s="8"/>
      <c r="B119" s="8"/>
      <c r="C119" s="8"/>
      <c r="D119" s="8"/>
      <c r="E119" s="8"/>
      <c r="F119" s="9">
        <f>IF(E119="","",IFERROR(VLOOKUP(E119,Services!$A$2:$D$4,2,FALSE),"Service à corriger"))</f>
        <v/>
      </c>
      <c r="G119" s="8"/>
      <c r="H119" s="8"/>
      <c r="I119" s="8"/>
      <c r="J119" s="8"/>
      <c r="K119" s="9">
        <f>IF(A119="","",IF(COUNTIF($A$2:$A$301,A119)&gt;1,"DOUBLON",IF(OR(B119="",C119="",D119="",COUNTIF(ListeServices,E119)&lt;&gt;1,G119="",COUNTIF(ListeMessages,H119)&lt;&gt;1),"Saisie incomplète",IF(OR(AND(I119&lt;&gt;"",I119&lt;B119),AND(J119&lt;&gt;"",OR(I119="",J119&lt;I119)),B119&gt;Parametres!$B$7),"Dates à corriger",IF(AND(H119="Traité",OR(I119="",J119="")),"Dates manquantes",IF(AND(H119="Transmis",I119=""),"Transmission manquante",IF(AND(H119&lt;&gt;"Traité",Parametres!$B$7-B119&gt;1),"À relancer","OK")))))))</f>
        <v/>
      </c>
    </row>
    <row r="120" spans="1:11" ht="22" customHeight="1">
      <c r="A120" s="8"/>
      <c r="B120" s="8"/>
      <c r="C120" s="8"/>
      <c r="D120" s="8"/>
      <c r="E120" s="8"/>
      <c r="F120" s="9">
        <f>IF(E120="","",IFERROR(VLOOKUP(E120,Services!$A$2:$D$4,2,FALSE),"Service à corriger"))</f>
        <v/>
      </c>
      <c r="G120" s="8"/>
      <c r="H120" s="8"/>
      <c r="I120" s="8"/>
      <c r="J120" s="8"/>
      <c r="K120" s="9">
        <f>IF(A120="","",IF(COUNTIF($A$2:$A$301,A120)&gt;1,"DOUBLON",IF(OR(B120="",C120="",D120="",COUNTIF(ListeServices,E120)&lt;&gt;1,G120="",COUNTIF(ListeMessages,H120)&lt;&gt;1),"Saisie incomplète",IF(OR(AND(I120&lt;&gt;"",I120&lt;B120),AND(J120&lt;&gt;"",OR(I120="",J120&lt;I120)),B120&gt;Parametres!$B$7),"Dates à corriger",IF(AND(H120="Traité",OR(I120="",J120="")),"Dates manquantes",IF(AND(H120="Transmis",I120=""),"Transmission manquante",IF(AND(H120&lt;&gt;"Traité",Parametres!$B$7-B120&gt;1),"À relancer","OK")))))))</f>
        <v/>
      </c>
    </row>
    <row r="121" spans="1:11" ht="22" customHeight="1">
      <c r="A121" s="8"/>
      <c r="B121" s="8"/>
      <c r="C121" s="8"/>
      <c r="D121" s="8"/>
      <c r="E121" s="8"/>
      <c r="F121" s="9">
        <f>IF(E121="","",IFERROR(VLOOKUP(E121,Services!$A$2:$D$4,2,FALSE),"Service à corriger"))</f>
        <v/>
      </c>
      <c r="G121" s="8"/>
      <c r="H121" s="8"/>
      <c r="I121" s="8"/>
      <c r="J121" s="8"/>
      <c r="K121" s="9">
        <f>IF(A121="","",IF(COUNTIF($A$2:$A$301,A121)&gt;1,"DOUBLON",IF(OR(B121="",C121="",D121="",COUNTIF(ListeServices,E121)&lt;&gt;1,G121="",COUNTIF(ListeMessages,H121)&lt;&gt;1),"Saisie incomplète",IF(OR(AND(I121&lt;&gt;"",I121&lt;B121),AND(J121&lt;&gt;"",OR(I121="",J121&lt;I121)),B121&gt;Parametres!$B$7),"Dates à corriger",IF(AND(H121="Traité",OR(I121="",J121="")),"Dates manquantes",IF(AND(H121="Transmis",I121=""),"Transmission manquante",IF(AND(H121&lt;&gt;"Traité",Parametres!$B$7-B121&gt;1),"À relancer","OK")))))))</f>
        <v/>
      </c>
    </row>
    <row r="122" spans="1:11" ht="22" customHeight="1">
      <c r="A122" s="8"/>
      <c r="B122" s="8"/>
      <c r="C122" s="8"/>
      <c r="D122" s="8"/>
      <c r="E122" s="8"/>
      <c r="F122" s="9">
        <f>IF(E122="","",IFERROR(VLOOKUP(E122,Services!$A$2:$D$4,2,FALSE),"Service à corriger"))</f>
        <v/>
      </c>
      <c r="G122" s="8"/>
      <c r="H122" s="8"/>
      <c r="I122" s="8"/>
      <c r="J122" s="8"/>
      <c r="K122" s="9">
        <f>IF(A122="","",IF(COUNTIF($A$2:$A$301,A122)&gt;1,"DOUBLON",IF(OR(B122="",C122="",D122="",COUNTIF(ListeServices,E122)&lt;&gt;1,G122="",COUNTIF(ListeMessages,H122)&lt;&gt;1),"Saisie incomplète",IF(OR(AND(I122&lt;&gt;"",I122&lt;B122),AND(J122&lt;&gt;"",OR(I122="",J122&lt;I122)),B122&gt;Parametres!$B$7),"Dates à corriger",IF(AND(H122="Traité",OR(I122="",J122="")),"Dates manquantes",IF(AND(H122="Transmis",I122=""),"Transmission manquante",IF(AND(H122&lt;&gt;"Traité",Parametres!$B$7-B122&gt;1),"À relancer","OK")))))))</f>
        <v/>
      </c>
    </row>
    <row r="123" spans="1:11" ht="22" customHeight="1">
      <c r="A123" s="8"/>
      <c r="B123" s="8"/>
      <c r="C123" s="8"/>
      <c r="D123" s="8"/>
      <c r="E123" s="8"/>
      <c r="F123" s="9">
        <f>IF(E123="","",IFERROR(VLOOKUP(E123,Services!$A$2:$D$4,2,FALSE),"Service à corriger"))</f>
        <v/>
      </c>
      <c r="G123" s="8"/>
      <c r="H123" s="8"/>
      <c r="I123" s="8"/>
      <c r="J123" s="8"/>
      <c r="K123" s="9">
        <f>IF(A123="","",IF(COUNTIF($A$2:$A$301,A123)&gt;1,"DOUBLON",IF(OR(B123="",C123="",D123="",COUNTIF(ListeServices,E123)&lt;&gt;1,G123="",COUNTIF(ListeMessages,H123)&lt;&gt;1),"Saisie incomplète",IF(OR(AND(I123&lt;&gt;"",I123&lt;B123),AND(J123&lt;&gt;"",OR(I123="",J123&lt;I123)),B123&gt;Parametres!$B$7),"Dates à corriger",IF(AND(H123="Traité",OR(I123="",J123="")),"Dates manquantes",IF(AND(H123="Transmis",I123=""),"Transmission manquante",IF(AND(H123&lt;&gt;"Traité",Parametres!$B$7-B123&gt;1),"À relancer","OK")))))))</f>
        <v/>
      </c>
    </row>
    <row r="124" spans="1:11" ht="22" customHeight="1">
      <c r="A124" s="8"/>
      <c r="B124" s="8"/>
      <c r="C124" s="8"/>
      <c r="D124" s="8"/>
      <c r="E124" s="8"/>
      <c r="F124" s="9">
        <f>IF(E124="","",IFERROR(VLOOKUP(E124,Services!$A$2:$D$4,2,FALSE),"Service à corriger"))</f>
        <v/>
      </c>
      <c r="G124" s="8"/>
      <c r="H124" s="8"/>
      <c r="I124" s="8"/>
      <c r="J124" s="8"/>
      <c r="K124" s="9">
        <f>IF(A124="","",IF(COUNTIF($A$2:$A$301,A124)&gt;1,"DOUBLON",IF(OR(B124="",C124="",D124="",COUNTIF(ListeServices,E124)&lt;&gt;1,G124="",COUNTIF(ListeMessages,H124)&lt;&gt;1),"Saisie incomplète",IF(OR(AND(I124&lt;&gt;"",I124&lt;B124),AND(J124&lt;&gt;"",OR(I124="",J124&lt;I124)),B124&gt;Parametres!$B$7),"Dates à corriger",IF(AND(H124="Traité",OR(I124="",J124="")),"Dates manquantes",IF(AND(H124="Transmis",I124=""),"Transmission manquante",IF(AND(H124&lt;&gt;"Traité",Parametres!$B$7-B124&gt;1),"À relancer","OK")))))))</f>
        <v/>
      </c>
    </row>
    <row r="125" spans="1:11" ht="22" customHeight="1">
      <c r="A125" s="8"/>
      <c r="B125" s="8"/>
      <c r="C125" s="8"/>
      <c r="D125" s="8"/>
      <c r="E125" s="8"/>
      <c r="F125" s="9">
        <f>IF(E125="","",IFERROR(VLOOKUP(E125,Services!$A$2:$D$4,2,FALSE),"Service à corriger"))</f>
        <v/>
      </c>
      <c r="G125" s="8"/>
      <c r="H125" s="8"/>
      <c r="I125" s="8"/>
      <c r="J125" s="8"/>
      <c r="K125" s="9">
        <f>IF(A125="","",IF(COUNTIF($A$2:$A$301,A125)&gt;1,"DOUBLON",IF(OR(B125="",C125="",D125="",COUNTIF(ListeServices,E125)&lt;&gt;1,G125="",COUNTIF(ListeMessages,H125)&lt;&gt;1),"Saisie incomplète",IF(OR(AND(I125&lt;&gt;"",I125&lt;B125),AND(J125&lt;&gt;"",OR(I125="",J125&lt;I125)),B125&gt;Parametres!$B$7),"Dates à corriger",IF(AND(H125="Traité",OR(I125="",J125="")),"Dates manquantes",IF(AND(H125="Transmis",I125=""),"Transmission manquante",IF(AND(H125&lt;&gt;"Traité",Parametres!$B$7-B125&gt;1),"À relancer","OK")))))))</f>
        <v/>
      </c>
    </row>
    <row r="126" spans="1:11" ht="22" customHeight="1">
      <c r="A126" s="8"/>
      <c r="B126" s="8"/>
      <c r="C126" s="8"/>
      <c r="D126" s="8"/>
      <c r="E126" s="8"/>
      <c r="F126" s="9">
        <f>IF(E126="","",IFERROR(VLOOKUP(E126,Services!$A$2:$D$4,2,FALSE),"Service à corriger"))</f>
        <v/>
      </c>
      <c r="G126" s="8"/>
      <c r="H126" s="8"/>
      <c r="I126" s="8"/>
      <c r="J126" s="8"/>
      <c r="K126" s="9">
        <f>IF(A126="","",IF(COUNTIF($A$2:$A$301,A126)&gt;1,"DOUBLON",IF(OR(B126="",C126="",D126="",COUNTIF(ListeServices,E126)&lt;&gt;1,G126="",COUNTIF(ListeMessages,H126)&lt;&gt;1),"Saisie incomplète",IF(OR(AND(I126&lt;&gt;"",I126&lt;B126),AND(J126&lt;&gt;"",OR(I126="",J126&lt;I126)),B126&gt;Parametres!$B$7),"Dates à corriger",IF(AND(H126="Traité",OR(I126="",J126="")),"Dates manquantes",IF(AND(H126="Transmis",I126=""),"Transmission manquante",IF(AND(H126&lt;&gt;"Traité",Parametres!$B$7-B126&gt;1),"À relancer","OK")))))))</f>
        <v/>
      </c>
    </row>
    <row r="127" spans="1:11" ht="22" customHeight="1">
      <c r="A127" s="8"/>
      <c r="B127" s="8"/>
      <c r="C127" s="8"/>
      <c r="D127" s="8"/>
      <c r="E127" s="8"/>
      <c r="F127" s="9">
        <f>IF(E127="","",IFERROR(VLOOKUP(E127,Services!$A$2:$D$4,2,FALSE),"Service à corriger"))</f>
        <v/>
      </c>
      <c r="G127" s="8"/>
      <c r="H127" s="8"/>
      <c r="I127" s="8"/>
      <c r="J127" s="8"/>
      <c r="K127" s="9">
        <f>IF(A127="","",IF(COUNTIF($A$2:$A$301,A127)&gt;1,"DOUBLON",IF(OR(B127="",C127="",D127="",COUNTIF(ListeServices,E127)&lt;&gt;1,G127="",COUNTIF(ListeMessages,H127)&lt;&gt;1),"Saisie incomplète",IF(OR(AND(I127&lt;&gt;"",I127&lt;B127),AND(J127&lt;&gt;"",OR(I127="",J127&lt;I127)),B127&gt;Parametres!$B$7),"Dates à corriger",IF(AND(H127="Traité",OR(I127="",J127="")),"Dates manquantes",IF(AND(H127="Transmis",I127=""),"Transmission manquante",IF(AND(H127&lt;&gt;"Traité",Parametres!$B$7-B127&gt;1),"À relancer","OK")))))))</f>
        <v/>
      </c>
    </row>
    <row r="128" spans="1:11" ht="22" customHeight="1">
      <c r="A128" s="8"/>
      <c r="B128" s="8"/>
      <c r="C128" s="8"/>
      <c r="D128" s="8"/>
      <c r="E128" s="8"/>
      <c r="F128" s="9">
        <f>IF(E128="","",IFERROR(VLOOKUP(E128,Services!$A$2:$D$4,2,FALSE),"Service à corriger"))</f>
        <v/>
      </c>
      <c r="G128" s="8"/>
      <c r="H128" s="8"/>
      <c r="I128" s="8"/>
      <c r="J128" s="8"/>
      <c r="K128" s="9">
        <f>IF(A128="","",IF(COUNTIF($A$2:$A$301,A128)&gt;1,"DOUBLON",IF(OR(B128="",C128="",D128="",COUNTIF(ListeServices,E128)&lt;&gt;1,G128="",COUNTIF(ListeMessages,H128)&lt;&gt;1),"Saisie incomplète",IF(OR(AND(I128&lt;&gt;"",I128&lt;B128),AND(J128&lt;&gt;"",OR(I128="",J128&lt;I128)),B128&gt;Parametres!$B$7),"Dates à corriger",IF(AND(H128="Traité",OR(I128="",J128="")),"Dates manquantes",IF(AND(H128="Transmis",I128=""),"Transmission manquante",IF(AND(H128&lt;&gt;"Traité",Parametres!$B$7-B128&gt;1),"À relancer","OK")))))))</f>
        <v/>
      </c>
    </row>
    <row r="129" spans="1:11" ht="22" customHeight="1">
      <c r="A129" s="8"/>
      <c r="B129" s="8"/>
      <c r="C129" s="8"/>
      <c r="D129" s="8"/>
      <c r="E129" s="8"/>
      <c r="F129" s="9">
        <f>IF(E129="","",IFERROR(VLOOKUP(E129,Services!$A$2:$D$4,2,FALSE),"Service à corriger"))</f>
        <v/>
      </c>
      <c r="G129" s="8"/>
      <c r="H129" s="8"/>
      <c r="I129" s="8"/>
      <c r="J129" s="8"/>
      <c r="K129" s="9">
        <f>IF(A129="","",IF(COUNTIF($A$2:$A$301,A129)&gt;1,"DOUBLON",IF(OR(B129="",C129="",D129="",COUNTIF(ListeServices,E129)&lt;&gt;1,G129="",COUNTIF(ListeMessages,H129)&lt;&gt;1),"Saisie incomplète",IF(OR(AND(I129&lt;&gt;"",I129&lt;B129),AND(J129&lt;&gt;"",OR(I129="",J129&lt;I129)),B129&gt;Parametres!$B$7),"Dates à corriger",IF(AND(H129="Traité",OR(I129="",J129="")),"Dates manquantes",IF(AND(H129="Transmis",I129=""),"Transmission manquante",IF(AND(H129&lt;&gt;"Traité",Parametres!$B$7-B129&gt;1),"À relancer","OK")))))))</f>
        <v/>
      </c>
    </row>
    <row r="130" spans="1:11" ht="22" customHeight="1">
      <c r="A130" s="8"/>
      <c r="B130" s="8"/>
      <c r="C130" s="8"/>
      <c r="D130" s="8"/>
      <c r="E130" s="8"/>
      <c r="F130" s="9">
        <f>IF(E130="","",IFERROR(VLOOKUP(E130,Services!$A$2:$D$4,2,FALSE),"Service à corriger"))</f>
        <v/>
      </c>
      <c r="G130" s="8"/>
      <c r="H130" s="8"/>
      <c r="I130" s="8"/>
      <c r="J130" s="8"/>
      <c r="K130" s="9">
        <f>IF(A130="","",IF(COUNTIF($A$2:$A$301,A130)&gt;1,"DOUBLON",IF(OR(B130="",C130="",D130="",COUNTIF(ListeServices,E130)&lt;&gt;1,G130="",COUNTIF(ListeMessages,H130)&lt;&gt;1),"Saisie incomplète",IF(OR(AND(I130&lt;&gt;"",I130&lt;B130),AND(J130&lt;&gt;"",OR(I130="",J130&lt;I130)),B130&gt;Parametres!$B$7),"Dates à corriger",IF(AND(H130="Traité",OR(I130="",J130="")),"Dates manquantes",IF(AND(H130="Transmis",I130=""),"Transmission manquante",IF(AND(H130&lt;&gt;"Traité",Parametres!$B$7-B130&gt;1),"À relancer","OK")))))))</f>
        <v/>
      </c>
    </row>
    <row r="131" spans="1:11" ht="22" customHeight="1">
      <c r="A131" s="8"/>
      <c r="B131" s="8"/>
      <c r="C131" s="8"/>
      <c r="D131" s="8"/>
      <c r="E131" s="8"/>
      <c r="F131" s="9">
        <f>IF(E131="","",IFERROR(VLOOKUP(E131,Services!$A$2:$D$4,2,FALSE),"Service à corriger"))</f>
        <v/>
      </c>
      <c r="G131" s="8"/>
      <c r="H131" s="8"/>
      <c r="I131" s="8"/>
      <c r="J131" s="8"/>
      <c r="K131" s="9">
        <f>IF(A131="","",IF(COUNTIF($A$2:$A$301,A131)&gt;1,"DOUBLON",IF(OR(B131="",C131="",D131="",COUNTIF(ListeServices,E131)&lt;&gt;1,G131="",COUNTIF(ListeMessages,H131)&lt;&gt;1),"Saisie incomplète",IF(OR(AND(I131&lt;&gt;"",I131&lt;B131),AND(J131&lt;&gt;"",OR(I131="",J131&lt;I131)),B131&gt;Parametres!$B$7),"Dates à corriger",IF(AND(H131="Traité",OR(I131="",J131="")),"Dates manquantes",IF(AND(H131="Transmis",I131=""),"Transmission manquante",IF(AND(H131&lt;&gt;"Traité",Parametres!$B$7-B131&gt;1),"À relancer","OK")))))))</f>
        <v/>
      </c>
    </row>
    <row r="132" spans="1:11" ht="22" customHeight="1">
      <c r="A132" s="8"/>
      <c r="B132" s="8"/>
      <c r="C132" s="8"/>
      <c r="D132" s="8"/>
      <c r="E132" s="8"/>
      <c r="F132" s="9">
        <f>IF(E132="","",IFERROR(VLOOKUP(E132,Services!$A$2:$D$4,2,FALSE),"Service à corriger"))</f>
        <v/>
      </c>
      <c r="G132" s="8"/>
      <c r="H132" s="8"/>
      <c r="I132" s="8"/>
      <c r="J132" s="8"/>
      <c r="K132" s="9">
        <f>IF(A132="","",IF(COUNTIF($A$2:$A$301,A132)&gt;1,"DOUBLON",IF(OR(B132="",C132="",D132="",COUNTIF(ListeServices,E132)&lt;&gt;1,G132="",COUNTIF(ListeMessages,H132)&lt;&gt;1),"Saisie incomplète",IF(OR(AND(I132&lt;&gt;"",I132&lt;B132),AND(J132&lt;&gt;"",OR(I132="",J132&lt;I132)),B132&gt;Parametres!$B$7),"Dates à corriger",IF(AND(H132="Traité",OR(I132="",J132="")),"Dates manquantes",IF(AND(H132="Transmis",I132=""),"Transmission manquante",IF(AND(H132&lt;&gt;"Traité",Parametres!$B$7-B132&gt;1),"À relancer","OK")))))))</f>
        <v/>
      </c>
    </row>
    <row r="133" spans="1:11" ht="22" customHeight="1">
      <c r="A133" s="8"/>
      <c r="B133" s="8"/>
      <c r="C133" s="8"/>
      <c r="D133" s="8"/>
      <c r="E133" s="8"/>
      <c r="F133" s="9">
        <f>IF(E133="","",IFERROR(VLOOKUP(E133,Services!$A$2:$D$4,2,FALSE),"Service à corriger"))</f>
        <v/>
      </c>
      <c r="G133" s="8"/>
      <c r="H133" s="8"/>
      <c r="I133" s="8"/>
      <c r="J133" s="8"/>
      <c r="K133" s="9">
        <f>IF(A133="","",IF(COUNTIF($A$2:$A$301,A133)&gt;1,"DOUBLON",IF(OR(B133="",C133="",D133="",COUNTIF(ListeServices,E133)&lt;&gt;1,G133="",COUNTIF(ListeMessages,H133)&lt;&gt;1),"Saisie incomplète",IF(OR(AND(I133&lt;&gt;"",I133&lt;B133),AND(J133&lt;&gt;"",OR(I133="",J133&lt;I133)),B133&gt;Parametres!$B$7),"Dates à corriger",IF(AND(H133="Traité",OR(I133="",J133="")),"Dates manquantes",IF(AND(H133="Transmis",I133=""),"Transmission manquante",IF(AND(H133&lt;&gt;"Traité",Parametres!$B$7-B133&gt;1),"À relancer","OK")))))))</f>
        <v/>
      </c>
    </row>
    <row r="134" spans="1:11" ht="22" customHeight="1">
      <c r="A134" s="8"/>
      <c r="B134" s="8"/>
      <c r="C134" s="8"/>
      <c r="D134" s="8"/>
      <c r="E134" s="8"/>
      <c r="F134" s="9">
        <f>IF(E134="","",IFERROR(VLOOKUP(E134,Services!$A$2:$D$4,2,FALSE),"Service à corriger"))</f>
        <v/>
      </c>
      <c r="G134" s="8"/>
      <c r="H134" s="8"/>
      <c r="I134" s="8"/>
      <c r="J134" s="8"/>
      <c r="K134" s="9">
        <f>IF(A134="","",IF(COUNTIF($A$2:$A$301,A134)&gt;1,"DOUBLON",IF(OR(B134="",C134="",D134="",COUNTIF(ListeServices,E134)&lt;&gt;1,G134="",COUNTIF(ListeMessages,H134)&lt;&gt;1),"Saisie incomplète",IF(OR(AND(I134&lt;&gt;"",I134&lt;B134),AND(J134&lt;&gt;"",OR(I134="",J134&lt;I134)),B134&gt;Parametres!$B$7),"Dates à corriger",IF(AND(H134="Traité",OR(I134="",J134="")),"Dates manquantes",IF(AND(H134="Transmis",I134=""),"Transmission manquante",IF(AND(H134&lt;&gt;"Traité",Parametres!$B$7-B134&gt;1),"À relancer","OK")))))))</f>
        <v/>
      </c>
    </row>
    <row r="135" spans="1:11" ht="22" customHeight="1">
      <c r="A135" s="8"/>
      <c r="B135" s="8"/>
      <c r="C135" s="8"/>
      <c r="D135" s="8"/>
      <c r="E135" s="8"/>
      <c r="F135" s="9">
        <f>IF(E135="","",IFERROR(VLOOKUP(E135,Services!$A$2:$D$4,2,FALSE),"Service à corriger"))</f>
        <v/>
      </c>
      <c r="G135" s="8"/>
      <c r="H135" s="8"/>
      <c r="I135" s="8"/>
      <c r="J135" s="8"/>
      <c r="K135" s="9">
        <f>IF(A135="","",IF(COUNTIF($A$2:$A$301,A135)&gt;1,"DOUBLON",IF(OR(B135="",C135="",D135="",COUNTIF(ListeServices,E135)&lt;&gt;1,G135="",COUNTIF(ListeMessages,H135)&lt;&gt;1),"Saisie incomplète",IF(OR(AND(I135&lt;&gt;"",I135&lt;B135),AND(J135&lt;&gt;"",OR(I135="",J135&lt;I135)),B135&gt;Parametres!$B$7),"Dates à corriger",IF(AND(H135="Traité",OR(I135="",J135="")),"Dates manquantes",IF(AND(H135="Transmis",I135=""),"Transmission manquante",IF(AND(H135&lt;&gt;"Traité",Parametres!$B$7-B135&gt;1),"À relancer","OK")))))))</f>
        <v/>
      </c>
    </row>
    <row r="136" spans="1:11" ht="22" customHeight="1">
      <c r="A136" s="8"/>
      <c r="B136" s="8"/>
      <c r="C136" s="8"/>
      <c r="D136" s="8"/>
      <c r="E136" s="8"/>
      <c r="F136" s="9">
        <f>IF(E136="","",IFERROR(VLOOKUP(E136,Services!$A$2:$D$4,2,FALSE),"Service à corriger"))</f>
        <v/>
      </c>
      <c r="G136" s="8"/>
      <c r="H136" s="8"/>
      <c r="I136" s="8"/>
      <c r="J136" s="8"/>
      <c r="K136" s="9">
        <f>IF(A136="","",IF(COUNTIF($A$2:$A$301,A136)&gt;1,"DOUBLON",IF(OR(B136="",C136="",D136="",COUNTIF(ListeServices,E136)&lt;&gt;1,G136="",COUNTIF(ListeMessages,H136)&lt;&gt;1),"Saisie incomplète",IF(OR(AND(I136&lt;&gt;"",I136&lt;B136),AND(J136&lt;&gt;"",OR(I136="",J136&lt;I136)),B136&gt;Parametres!$B$7),"Dates à corriger",IF(AND(H136="Traité",OR(I136="",J136="")),"Dates manquantes",IF(AND(H136="Transmis",I136=""),"Transmission manquante",IF(AND(H136&lt;&gt;"Traité",Parametres!$B$7-B136&gt;1),"À relancer","OK")))))))</f>
        <v/>
      </c>
    </row>
    <row r="137" spans="1:11" ht="22" customHeight="1">
      <c r="A137" s="8"/>
      <c r="B137" s="8"/>
      <c r="C137" s="8"/>
      <c r="D137" s="8"/>
      <c r="E137" s="8"/>
      <c r="F137" s="9">
        <f>IF(E137="","",IFERROR(VLOOKUP(E137,Services!$A$2:$D$4,2,FALSE),"Service à corriger"))</f>
        <v/>
      </c>
      <c r="G137" s="8"/>
      <c r="H137" s="8"/>
      <c r="I137" s="8"/>
      <c r="J137" s="8"/>
      <c r="K137" s="9">
        <f>IF(A137="","",IF(COUNTIF($A$2:$A$301,A137)&gt;1,"DOUBLON",IF(OR(B137="",C137="",D137="",COUNTIF(ListeServices,E137)&lt;&gt;1,G137="",COUNTIF(ListeMessages,H137)&lt;&gt;1),"Saisie incomplète",IF(OR(AND(I137&lt;&gt;"",I137&lt;B137),AND(J137&lt;&gt;"",OR(I137="",J137&lt;I137)),B137&gt;Parametres!$B$7),"Dates à corriger",IF(AND(H137="Traité",OR(I137="",J137="")),"Dates manquantes",IF(AND(H137="Transmis",I137=""),"Transmission manquante",IF(AND(H137&lt;&gt;"Traité",Parametres!$B$7-B137&gt;1),"À relancer","OK")))))))</f>
        <v/>
      </c>
    </row>
    <row r="138" spans="1:11" ht="22" customHeight="1">
      <c r="A138" s="8"/>
      <c r="B138" s="8"/>
      <c r="C138" s="8"/>
      <c r="D138" s="8"/>
      <c r="E138" s="8"/>
      <c r="F138" s="9">
        <f>IF(E138="","",IFERROR(VLOOKUP(E138,Services!$A$2:$D$4,2,FALSE),"Service à corriger"))</f>
        <v/>
      </c>
      <c r="G138" s="8"/>
      <c r="H138" s="8"/>
      <c r="I138" s="8"/>
      <c r="J138" s="8"/>
      <c r="K138" s="9">
        <f>IF(A138="","",IF(COUNTIF($A$2:$A$301,A138)&gt;1,"DOUBLON",IF(OR(B138="",C138="",D138="",COUNTIF(ListeServices,E138)&lt;&gt;1,G138="",COUNTIF(ListeMessages,H138)&lt;&gt;1),"Saisie incomplète",IF(OR(AND(I138&lt;&gt;"",I138&lt;B138),AND(J138&lt;&gt;"",OR(I138="",J138&lt;I138)),B138&gt;Parametres!$B$7),"Dates à corriger",IF(AND(H138="Traité",OR(I138="",J138="")),"Dates manquantes",IF(AND(H138="Transmis",I138=""),"Transmission manquante",IF(AND(H138&lt;&gt;"Traité",Parametres!$B$7-B138&gt;1),"À relancer","OK")))))))</f>
        <v/>
      </c>
    </row>
    <row r="139" spans="1:11" ht="22" customHeight="1">
      <c r="A139" s="8"/>
      <c r="B139" s="8"/>
      <c r="C139" s="8"/>
      <c r="D139" s="8"/>
      <c r="E139" s="8"/>
      <c r="F139" s="9">
        <f>IF(E139="","",IFERROR(VLOOKUP(E139,Services!$A$2:$D$4,2,FALSE),"Service à corriger"))</f>
        <v/>
      </c>
      <c r="G139" s="8"/>
      <c r="H139" s="8"/>
      <c r="I139" s="8"/>
      <c r="J139" s="8"/>
      <c r="K139" s="9">
        <f>IF(A139="","",IF(COUNTIF($A$2:$A$301,A139)&gt;1,"DOUBLON",IF(OR(B139="",C139="",D139="",COUNTIF(ListeServices,E139)&lt;&gt;1,G139="",COUNTIF(ListeMessages,H139)&lt;&gt;1),"Saisie incomplète",IF(OR(AND(I139&lt;&gt;"",I139&lt;B139),AND(J139&lt;&gt;"",OR(I139="",J139&lt;I139)),B139&gt;Parametres!$B$7),"Dates à corriger",IF(AND(H139="Traité",OR(I139="",J139="")),"Dates manquantes",IF(AND(H139="Transmis",I139=""),"Transmission manquante",IF(AND(H139&lt;&gt;"Traité",Parametres!$B$7-B139&gt;1),"À relancer","OK")))))))</f>
        <v/>
      </c>
    </row>
    <row r="140" spans="1:11" ht="22" customHeight="1">
      <c r="A140" s="8"/>
      <c r="B140" s="8"/>
      <c r="C140" s="8"/>
      <c r="D140" s="8"/>
      <c r="E140" s="8"/>
      <c r="F140" s="9">
        <f>IF(E140="","",IFERROR(VLOOKUP(E140,Services!$A$2:$D$4,2,FALSE),"Service à corriger"))</f>
        <v/>
      </c>
      <c r="G140" s="8"/>
      <c r="H140" s="8"/>
      <c r="I140" s="8"/>
      <c r="J140" s="8"/>
      <c r="K140" s="9">
        <f>IF(A140="","",IF(COUNTIF($A$2:$A$301,A140)&gt;1,"DOUBLON",IF(OR(B140="",C140="",D140="",COUNTIF(ListeServices,E140)&lt;&gt;1,G140="",COUNTIF(ListeMessages,H140)&lt;&gt;1),"Saisie incomplète",IF(OR(AND(I140&lt;&gt;"",I140&lt;B140),AND(J140&lt;&gt;"",OR(I140="",J140&lt;I140)),B140&gt;Parametres!$B$7),"Dates à corriger",IF(AND(H140="Traité",OR(I140="",J140="")),"Dates manquantes",IF(AND(H140="Transmis",I140=""),"Transmission manquante",IF(AND(H140&lt;&gt;"Traité",Parametres!$B$7-B140&gt;1),"À relancer","OK")))))))</f>
        <v/>
      </c>
    </row>
    <row r="141" spans="1:11" ht="22" customHeight="1">
      <c r="A141" s="8"/>
      <c r="B141" s="8"/>
      <c r="C141" s="8"/>
      <c r="D141" s="8"/>
      <c r="E141" s="8"/>
      <c r="F141" s="9">
        <f>IF(E141="","",IFERROR(VLOOKUP(E141,Services!$A$2:$D$4,2,FALSE),"Service à corriger"))</f>
        <v/>
      </c>
      <c r="G141" s="8"/>
      <c r="H141" s="8"/>
      <c r="I141" s="8"/>
      <c r="J141" s="8"/>
      <c r="K141" s="9">
        <f>IF(A141="","",IF(COUNTIF($A$2:$A$301,A141)&gt;1,"DOUBLON",IF(OR(B141="",C141="",D141="",COUNTIF(ListeServices,E141)&lt;&gt;1,G141="",COUNTIF(ListeMessages,H141)&lt;&gt;1),"Saisie incomplète",IF(OR(AND(I141&lt;&gt;"",I141&lt;B141),AND(J141&lt;&gt;"",OR(I141="",J141&lt;I141)),B141&gt;Parametres!$B$7),"Dates à corriger",IF(AND(H141="Traité",OR(I141="",J141="")),"Dates manquantes",IF(AND(H141="Transmis",I141=""),"Transmission manquante",IF(AND(H141&lt;&gt;"Traité",Parametres!$B$7-B141&gt;1),"À relancer","OK")))))))</f>
        <v/>
      </c>
    </row>
    <row r="142" spans="1:11" ht="22" customHeight="1">
      <c r="A142" s="8"/>
      <c r="B142" s="8"/>
      <c r="C142" s="8"/>
      <c r="D142" s="8"/>
      <c r="E142" s="8"/>
      <c r="F142" s="9">
        <f>IF(E142="","",IFERROR(VLOOKUP(E142,Services!$A$2:$D$4,2,FALSE),"Service à corriger"))</f>
        <v/>
      </c>
      <c r="G142" s="8"/>
      <c r="H142" s="8"/>
      <c r="I142" s="8"/>
      <c r="J142" s="8"/>
      <c r="K142" s="9">
        <f>IF(A142="","",IF(COUNTIF($A$2:$A$301,A142)&gt;1,"DOUBLON",IF(OR(B142="",C142="",D142="",COUNTIF(ListeServices,E142)&lt;&gt;1,G142="",COUNTIF(ListeMessages,H142)&lt;&gt;1),"Saisie incomplète",IF(OR(AND(I142&lt;&gt;"",I142&lt;B142),AND(J142&lt;&gt;"",OR(I142="",J142&lt;I142)),B142&gt;Parametres!$B$7),"Dates à corriger",IF(AND(H142="Traité",OR(I142="",J142="")),"Dates manquantes",IF(AND(H142="Transmis",I142=""),"Transmission manquante",IF(AND(H142&lt;&gt;"Traité",Parametres!$B$7-B142&gt;1),"À relancer","OK")))))))</f>
        <v/>
      </c>
    </row>
    <row r="143" spans="1:11" ht="22" customHeight="1">
      <c r="A143" s="8"/>
      <c r="B143" s="8"/>
      <c r="C143" s="8"/>
      <c r="D143" s="8"/>
      <c r="E143" s="8"/>
      <c r="F143" s="9">
        <f>IF(E143="","",IFERROR(VLOOKUP(E143,Services!$A$2:$D$4,2,FALSE),"Service à corriger"))</f>
        <v/>
      </c>
      <c r="G143" s="8"/>
      <c r="H143" s="8"/>
      <c r="I143" s="8"/>
      <c r="J143" s="8"/>
      <c r="K143" s="9">
        <f>IF(A143="","",IF(COUNTIF($A$2:$A$301,A143)&gt;1,"DOUBLON",IF(OR(B143="",C143="",D143="",COUNTIF(ListeServices,E143)&lt;&gt;1,G143="",COUNTIF(ListeMessages,H143)&lt;&gt;1),"Saisie incomplète",IF(OR(AND(I143&lt;&gt;"",I143&lt;B143),AND(J143&lt;&gt;"",OR(I143="",J143&lt;I143)),B143&gt;Parametres!$B$7),"Dates à corriger",IF(AND(H143="Traité",OR(I143="",J143="")),"Dates manquantes",IF(AND(H143="Transmis",I143=""),"Transmission manquante",IF(AND(H143&lt;&gt;"Traité",Parametres!$B$7-B143&gt;1),"À relancer","OK")))))))</f>
        <v/>
      </c>
    </row>
    <row r="144" spans="1:11" ht="22" customHeight="1">
      <c r="A144" s="8"/>
      <c r="B144" s="8"/>
      <c r="C144" s="8"/>
      <c r="D144" s="8"/>
      <c r="E144" s="8"/>
      <c r="F144" s="9">
        <f>IF(E144="","",IFERROR(VLOOKUP(E144,Services!$A$2:$D$4,2,FALSE),"Service à corriger"))</f>
        <v/>
      </c>
      <c r="G144" s="8"/>
      <c r="H144" s="8"/>
      <c r="I144" s="8"/>
      <c r="J144" s="8"/>
      <c r="K144" s="9">
        <f>IF(A144="","",IF(COUNTIF($A$2:$A$301,A144)&gt;1,"DOUBLON",IF(OR(B144="",C144="",D144="",COUNTIF(ListeServices,E144)&lt;&gt;1,G144="",COUNTIF(ListeMessages,H144)&lt;&gt;1),"Saisie incomplète",IF(OR(AND(I144&lt;&gt;"",I144&lt;B144),AND(J144&lt;&gt;"",OR(I144="",J144&lt;I144)),B144&gt;Parametres!$B$7),"Dates à corriger",IF(AND(H144="Traité",OR(I144="",J144="")),"Dates manquantes",IF(AND(H144="Transmis",I144=""),"Transmission manquante",IF(AND(H144&lt;&gt;"Traité",Parametres!$B$7-B144&gt;1),"À relancer","OK")))))))</f>
        <v/>
      </c>
    </row>
    <row r="145" spans="1:11" ht="22" customHeight="1">
      <c r="A145" s="8"/>
      <c r="B145" s="8"/>
      <c r="C145" s="8"/>
      <c r="D145" s="8"/>
      <c r="E145" s="8"/>
      <c r="F145" s="9">
        <f>IF(E145="","",IFERROR(VLOOKUP(E145,Services!$A$2:$D$4,2,FALSE),"Service à corriger"))</f>
        <v/>
      </c>
      <c r="G145" s="8"/>
      <c r="H145" s="8"/>
      <c r="I145" s="8"/>
      <c r="J145" s="8"/>
      <c r="K145" s="9">
        <f>IF(A145="","",IF(COUNTIF($A$2:$A$301,A145)&gt;1,"DOUBLON",IF(OR(B145="",C145="",D145="",COUNTIF(ListeServices,E145)&lt;&gt;1,G145="",COUNTIF(ListeMessages,H145)&lt;&gt;1),"Saisie incomplète",IF(OR(AND(I145&lt;&gt;"",I145&lt;B145),AND(J145&lt;&gt;"",OR(I145="",J145&lt;I145)),B145&gt;Parametres!$B$7),"Dates à corriger",IF(AND(H145="Traité",OR(I145="",J145="")),"Dates manquantes",IF(AND(H145="Transmis",I145=""),"Transmission manquante",IF(AND(H145&lt;&gt;"Traité",Parametres!$B$7-B145&gt;1),"À relancer","OK")))))))</f>
        <v/>
      </c>
    </row>
    <row r="146" spans="1:11" ht="22" customHeight="1">
      <c r="A146" s="8"/>
      <c r="B146" s="8"/>
      <c r="C146" s="8"/>
      <c r="D146" s="8"/>
      <c r="E146" s="8"/>
      <c r="F146" s="9">
        <f>IF(E146="","",IFERROR(VLOOKUP(E146,Services!$A$2:$D$4,2,FALSE),"Service à corriger"))</f>
        <v/>
      </c>
      <c r="G146" s="8"/>
      <c r="H146" s="8"/>
      <c r="I146" s="8"/>
      <c r="J146" s="8"/>
      <c r="K146" s="9">
        <f>IF(A146="","",IF(COUNTIF($A$2:$A$301,A146)&gt;1,"DOUBLON",IF(OR(B146="",C146="",D146="",COUNTIF(ListeServices,E146)&lt;&gt;1,G146="",COUNTIF(ListeMessages,H146)&lt;&gt;1),"Saisie incomplète",IF(OR(AND(I146&lt;&gt;"",I146&lt;B146),AND(J146&lt;&gt;"",OR(I146="",J146&lt;I146)),B146&gt;Parametres!$B$7),"Dates à corriger",IF(AND(H146="Traité",OR(I146="",J146="")),"Dates manquantes",IF(AND(H146="Transmis",I146=""),"Transmission manquante",IF(AND(H146&lt;&gt;"Traité",Parametres!$B$7-B146&gt;1),"À relancer","OK")))))))</f>
        <v/>
      </c>
    </row>
    <row r="147" spans="1:11" ht="22" customHeight="1">
      <c r="A147" s="8"/>
      <c r="B147" s="8"/>
      <c r="C147" s="8"/>
      <c r="D147" s="8"/>
      <c r="E147" s="8"/>
      <c r="F147" s="9">
        <f>IF(E147="","",IFERROR(VLOOKUP(E147,Services!$A$2:$D$4,2,FALSE),"Service à corriger"))</f>
        <v/>
      </c>
      <c r="G147" s="8"/>
      <c r="H147" s="8"/>
      <c r="I147" s="8"/>
      <c r="J147" s="8"/>
      <c r="K147" s="9">
        <f>IF(A147="","",IF(COUNTIF($A$2:$A$301,A147)&gt;1,"DOUBLON",IF(OR(B147="",C147="",D147="",COUNTIF(ListeServices,E147)&lt;&gt;1,G147="",COUNTIF(ListeMessages,H147)&lt;&gt;1),"Saisie incomplète",IF(OR(AND(I147&lt;&gt;"",I147&lt;B147),AND(J147&lt;&gt;"",OR(I147="",J147&lt;I147)),B147&gt;Parametres!$B$7),"Dates à corriger",IF(AND(H147="Traité",OR(I147="",J147="")),"Dates manquantes",IF(AND(H147="Transmis",I147=""),"Transmission manquante",IF(AND(H147&lt;&gt;"Traité",Parametres!$B$7-B147&gt;1),"À relancer","OK")))))))</f>
        <v/>
      </c>
    </row>
    <row r="148" spans="1:11" ht="22" customHeight="1">
      <c r="A148" s="8"/>
      <c r="B148" s="8"/>
      <c r="C148" s="8"/>
      <c r="D148" s="8"/>
      <c r="E148" s="8"/>
      <c r="F148" s="9">
        <f>IF(E148="","",IFERROR(VLOOKUP(E148,Services!$A$2:$D$4,2,FALSE),"Service à corriger"))</f>
        <v/>
      </c>
      <c r="G148" s="8"/>
      <c r="H148" s="8"/>
      <c r="I148" s="8"/>
      <c r="J148" s="8"/>
      <c r="K148" s="9">
        <f>IF(A148="","",IF(COUNTIF($A$2:$A$301,A148)&gt;1,"DOUBLON",IF(OR(B148="",C148="",D148="",COUNTIF(ListeServices,E148)&lt;&gt;1,G148="",COUNTIF(ListeMessages,H148)&lt;&gt;1),"Saisie incomplète",IF(OR(AND(I148&lt;&gt;"",I148&lt;B148),AND(J148&lt;&gt;"",OR(I148="",J148&lt;I148)),B148&gt;Parametres!$B$7),"Dates à corriger",IF(AND(H148="Traité",OR(I148="",J148="")),"Dates manquantes",IF(AND(H148="Transmis",I148=""),"Transmission manquante",IF(AND(H148&lt;&gt;"Traité",Parametres!$B$7-B148&gt;1),"À relancer","OK")))))))</f>
        <v/>
      </c>
    </row>
    <row r="149" spans="1:11" ht="22" customHeight="1">
      <c r="A149" s="8"/>
      <c r="B149" s="8"/>
      <c r="C149" s="8"/>
      <c r="D149" s="8"/>
      <c r="E149" s="8"/>
      <c r="F149" s="9">
        <f>IF(E149="","",IFERROR(VLOOKUP(E149,Services!$A$2:$D$4,2,FALSE),"Service à corriger"))</f>
        <v/>
      </c>
      <c r="G149" s="8"/>
      <c r="H149" s="8"/>
      <c r="I149" s="8"/>
      <c r="J149" s="8"/>
      <c r="K149" s="9">
        <f>IF(A149="","",IF(COUNTIF($A$2:$A$301,A149)&gt;1,"DOUBLON",IF(OR(B149="",C149="",D149="",COUNTIF(ListeServices,E149)&lt;&gt;1,G149="",COUNTIF(ListeMessages,H149)&lt;&gt;1),"Saisie incomplète",IF(OR(AND(I149&lt;&gt;"",I149&lt;B149),AND(J149&lt;&gt;"",OR(I149="",J149&lt;I149)),B149&gt;Parametres!$B$7),"Dates à corriger",IF(AND(H149="Traité",OR(I149="",J149="")),"Dates manquantes",IF(AND(H149="Transmis",I149=""),"Transmission manquante",IF(AND(H149&lt;&gt;"Traité",Parametres!$B$7-B149&gt;1),"À relancer","OK")))))))</f>
        <v/>
      </c>
    </row>
    <row r="150" spans="1:11" ht="22" customHeight="1">
      <c r="A150" s="8"/>
      <c r="B150" s="8"/>
      <c r="C150" s="8"/>
      <c r="D150" s="8"/>
      <c r="E150" s="8"/>
      <c r="F150" s="9">
        <f>IF(E150="","",IFERROR(VLOOKUP(E150,Services!$A$2:$D$4,2,FALSE),"Service à corriger"))</f>
        <v/>
      </c>
      <c r="G150" s="8"/>
      <c r="H150" s="8"/>
      <c r="I150" s="8"/>
      <c r="J150" s="8"/>
      <c r="K150" s="9">
        <f>IF(A150="","",IF(COUNTIF($A$2:$A$301,A150)&gt;1,"DOUBLON",IF(OR(B150="",C150="",D150="",COUNTIF(ListeServices,E150)&lt;&gt;1,G150="",COUNTIF(ListeMessages,H150)&lt;&gt;1),"Saisie incomplète",IF(OR(AND(I150&lt;&gt;"",I150&lt;B150),AND(J150&lt;&gt;"",OR(I150="",J150&lt;I150)),B150&gt;Parametres!$B$7),"Dates à corriger",IF(AND(H150="Traité",OR(I150="",J150="")),"Dates manquantes",IF(AND(H150="Transmis",I150=""),"Transmission manquante",IF(AND(H150&lt;&gt;"Traité",Parametres!$B$7-B150&gt;1),"À relancer","OK")))))))</f>
        <v/>
      </c>
    </row>
    <row r="151" spans="1:11" ht="22" customHeight="1">
      <c r="A151" s="8"/>
      <c r="B151" s="8"/>
      <c r="C151" s="8"/>
      <c r="D151" s="8"/>
      <c r="E151" s="8"/>
      <c r="F151" s="9">
        <f>IF(E151="","",IFERROR(VLOOKUP(E151,Services!$A$2:$D$4,2,FALSE),"Service à corriger"))</f>
        <v/>
      </c>
      <c r="G151" s="8"/>
      <c r="H151" s="8"/>
      <c r="I151" s="8"/>
      <c r="J151" s="8"/>
      <c r="K151" s="9">
        <f>IF(A151="","",IF(COUNTIF($A$2:$A$301,A151)&gt;1,"DOUBLON",IF(OR(B151="",C151="",D151="",COUNTIF(ListeServices,E151)&lt;&gt;1,G151="",COUNTIF(ListeMessages,H151)&lt;&gt;1),"Saisie incomplète",IF(OR(AND(I151&lt;&gt;"",I151&lt;B151),AND(J151&lt;&gt;"",OR(I151="",J151&lt;I151)),B151&gt;Parametres!$B$7),"Dates à corriger",IF(AND(H151="Traité",OR(I151="",J151="")),"Dates manquantes",IF(AND(H151="Transmis",I151=""),"Transmission manquante",IF(AND(H151&lt;&gt;"Traité",Parametres!$B$7-B151&gt;1),"À relancer","OK")))))))</f>
        <v/>
      </c>
    </row>
    <row r="152" spans="1:11" ht="22" customHeight="1">
      <c r="A152" s="8"/>
      <c r="B152" s="8"/>
      <c r="C152" s="8"/>
      <c r="D152" s="8"/>
      <c r="E152" s="8"/>
      <c r="F152" s="9">
        <f>IF(E152="","",IFERROR(VLOOKUP(E152,Services!$A$2:$D$4,2,FALSE),"Service à corriger"))</f>
        <v/>
      </c>
      <c r="G152" s="8"/>
      <c r="H152" s="8"/>
      <c r="I152" s="8"/>
      <c r="J152" s="8"/>
      <c r="K152" s="9">
        <f>IF(A152="","",IF(COUNTIF($A$2:$A$301,A152)&gt;1,"DOUBLON",IF(OR(B152="",C152="",D152="",COUNTIF(ListeServices,E152)&lt;&gt;1,G152="",COUNTIF(ListeMessages,H152)&lt;&gt;1),"Saisie incomplète",IF(OR(AND(I152&lt;&gt;"",I152&lt;B152),AND(J152&lt;&gt;"",OR(I152="",J152&lt;I152)),B152&gt;Parametres!$B$7),"Dates à corriger",IF(AND(H152="Traité",OR(I152="",J152="")),"Dates manquantes",IF(AND(H152="Transmis",I152=""),"Transmission manquante",IF(AND(H152&lt;&gt;"Traité",Parametres!$B$7-B152&gt;1),"À relancer","OK")))))))</f>
        <v/>
      </c>
    </row>
    <row r="153" spans="1:11" ht="22" customHeight="1">
      <c r="A153" s="8"/>
      <c r="B153" s="8"/>
      <c r="C153" s="8"/>
      <c r="D153" s="8"/>
      <c r="E153" s="8"/>
      <c r="F153" s="9">
        <f>IF(E153="","",IFERROR(VLOOKUP(E153,Services!$A$2:$D$4,2,FALSE),"Service à corriger"))</f>
        <v/>
      </c>
      <c r="G153" s="8"/>
      <c r="H153" s="8"/>
      <c r="I153" s="8"/>
      <c r="J153" s="8"/>
      <c r="K153" s="9">
        <f>IF(A153="","",IF(COUNTIF($A$2:$A$301,A153)&gt;1,"DOUBLON",IF(OR(B153="",C153="",D153="",COUNTIF(ListeServices,E153)&lt;&gt;1,G153="",COUNTIF(ListeMessages,H153)&lt;&gt;1),"Saisie incomplète",IF(OR(AND(I153&lt;&gt;"",I153&lt;B153),AND(J153&lt;&gt;"",OR(I153="",J153&lt;I153)),B153&gt;Parametres!$B$7),"Dates à corriger",IF(AND(H153="Traité",OR(I153="",J153="")),"Dates manquantes",IF(AND(H153="Transmis",I153=""),"Transmission manquante",IF(AND(H153&lt;&gt;"Traité",Parametres!$B$7-B153&gt;1),"À relancer","OK")))))))</f>
        <v/>
      </c>
    </row>
    <row r="154" spans="1:11" ht="22" customHeight="1">
      <c r="A154" s="8"/>
      <c r="B154" s="8"/>
      <c r="C154" s="8"/>
      <c r="D154" s="8"/>
      <c r="E154" s="8"/>
      <c r="F154" s="9">
        <f>IF(E154="","",IFERROR(VLOOKUP(E154,Services!$A$2:$D$4,2,FALSE),"Service à corriger"))</f>
        <v/>
      </c>
      <c r="G154" s="8"/>
      <c r="H154" s="8"/>
      <c r="I154" s="8"/>
      <c r="J154" s="8"/>
      <c r="K154" s="9">
        <f>IF(A154="","",IF(COUNTIF($A$2:$A$301,A154)&gt;1,"DOUBLON",IF(OR(B154="",C154="",D154="",COUNTIF(ListeServices,E154)&lt;&gt;1,G154="",COUNTIF(ListeMessages,H154)&lt;&gt;1),"Saisie incomplète",IF(OR(AND(I154&lt;&gt;"",I154&lt;B154),AND(J154&lt;&gt;"",OR(I154="",J154&lt;I154)),B154&gt;Parametres!$B$7),"Dates à corriger",IF(AND(H154="Traité",OR(I154="",J154="")),"Dates manquantes",IF(AND(H154="Transmis",I154=""),"Transmission manquante",IF(AND(H154&lt;&gt;"Traité",Parametres!$B$7-B154&gt;1),"À relancer","OK")))))))</f>
        <v/>
      </c>
    </row>
    <row r="155" spans="1:11" ht="22" customHeight="1">
      <c r="A155" s="8"/>
      <c r="B155" s="8"/>
      <c r="C155" s="8"/>
      <c r="D155" s="8"/>
      <c r="E155" s="8"/>
      <c r="F155" s="9">
        <f>IF(E155="","",IFERROR(VLOOKUP(E155,Services!$A$2:$D$4,2,FALSE),"Service à corriger"))</f>
        <v/>
      </c>
      <c r="G155" s="8"/>
      <c r="H155" s="8"/>
      <c r="I155" s="8"/>
      <c r="J155" s="8"/>
      <c r="K155" s="9">
        <f>IF(A155="","",IF(COUNTIF($A$2:$A$301,A155)&gt;1,"DOUBLON",IF(OR(B155="",C155="",D155="",COUNTIF(ListeServices,E155)&lt;&gt;1,G155="",COUNTIF(ListeMessages,H155)&lt;&gt;1),"Saisie incomplète",IF(OR(AND(I155&lt;&gt;"",I155&lt;B155),AND(J155&lt;&gt;"",OR(I155="",J155&lt;I155)),B155&gt;Parametres!$B$7),"Dates à corriger",IF(AND(H155="Traité",OR(I155="",J155="")),"Dates manquantes",IF(AND(H155="Transmis",I155=""),"Transmission manquante",IF(AND(H155&lt;&gt;"Traité",Parametres!$B$7-B155&gt;1),"À relancer","OK")))))))</f>
        <v/>
      </c>
    </row>
    <row r="156" spans="1:11" ht="22" customHeight="1">
      <c r="A156" s="8"/>
      <c r="B156" s="8"/>
      <c r="C156" s="8"/>
      <c r="D156" s="8"/>
      <c r="E156" s="8"/>
      <c r="F156" s="9">
        <f>IF(E156="","",IFERROR(VLOOKUP(E156,Services!$A$2:$D$4,2,FALSE),"Service à corriger"))</f>
        <v/>
      </c>
      <c r="G156" s="8"/>
      <c r="H156" s="8"/>
      <c r="I156" s="8"/>
      <c r="J156" s="8"/>
      <c r="K156" s="9">
        <f>IF(A156="","",IF(COUNTIF($A$2:$A$301,A156)&gt;1,"DOUBLON",IF(OR(B156="",C156="",D156="",COUNTIF(ListeServices,E156)&lt;&gt;1,G156="",COUNTIF(ListeMessages,H156)&lt;&gt;1),"Saisie incomplète",IF(OR(AND(I156&lt;&gt;"",I156&lt;B156),AND(J156&lt;&gt;"",OR(I156="",J156&lt;I156)),B156&gt;Parametres!$B$7),"Dates à corriger",IF(AND(H156="Traité",OR(I156="",J156="")),"Dates manquantes",IF(AND(H156="Transmis",I156=""),"Transmission manquante",IF(AND(H156&lt;&gt;"Traité",Parametres!$B$7-B156&gt;1),"À relancer","OK")))))))</f>
        <v/>
      </c>
    </row>
    <row r="157" spans="1:11" ht="22" customHeight="1">
      <c r="A157" s="8"/>
      <c r="B157" s="8"/>
      <c r="C157" s="8"/>
      <c r="D157" s="8"/>
      <c r="E157" s="8"/>
      <c r="F157" s="9">
        <f>IF(E157="","",IFERROR(VLOOKUP(E157,Services!$A$2:$D$4,2,FALSE),"Service à corriger"))</f>
        <v/>
      </c>
      <c r="G157" s="8"/>
      <c r="H157" s="8"/>
      <c r="I157" s="8"/>
      <c r="J157" s="8"/>
      <c r="K157" s="9">
        <f>IF(A157="","",IF(COUNTIF($A$2:$A$301,A157)&gt;1,"DOUBLON",IF(OR(B157="",C157="",D157="",COUNTIF(ListeServices,E157)&lt;&gt;1,G157="",COUNTIF(ListeMessages,H157)&lt;&gt;1),"Saisie incomplète",IF(OR(AND(I157&lt;&gt;"",I157&lt;B157),AND(J157&lt;&gt;"",OR(I157="",J157&lt;I157)),B157&gt;Parametres!$B$7),"Dates à corriger",IF(AND(H157="Traité",OR(I157="",J157="")),"Dates manquantes",IF(AND(H157="Transmis",I157=""),"Transmission manquante",IF(AND(H157&lt;&gt;"Traité",Parametres!$B$7-B157&gt;1),"À relancer","OK")))))))</f>
        <v/>
      </c>
    </row>
    <row r="158" spans="1:11" ht="22" customHeight="1">
      <c r="A158" s="8"/>
      <c r="B158" s="8"/>
      <c r="C158" s="8"/>
      <c r="D158" s="8"/>
      <c r="E158" s="8"/>
      <c r="F158" s="9">
        <f>IF(E158="","",IFERROR(VLOOKUP(E158,Services!$A$2:$D$4,2,FALSE),"Service à corriger"))</f>
        <v/>
      </c>
      <c r="G158" s="8"/>
      <c r="H158" s="8"/>
      <c r="I158" s="8"/>
      <c r="J158" s="8"/>
      <c r="K158" s="9">
        <f>IF(A158="","",IF(COUNTIF($A$2:$A$301,A158)&gt;1,"DOUBLON",IF(OR(B158="",C158="",D158="",COUNTIF(ListeServices,E158)&lt;&gt;1,G158="",COUNTIF(ListeMessages,H158)&lt;&gt;1),"Saisie incomplète",IF(OR(AND(I158&lt;&gt;"",I158&lt;B158),AND(J158&lt;&gt;"",OR(I158="",J158&lt;I158)),B158&gt;Parametres!$B$7),"Dates à corriger",IF(AND(H158="Traité",OR(I158="",J158="")),"Dates manquantes",IF(AND(H158="Transmis",I158=""),"Transmission manquante",IF(AND(H158&lt;&gt;"Traité",Parametres!$B$7-B158&gt;1),"À relancer","OK")))))))</f>
        <v/>
      </c>
    </row>
    <row r="159" spans="1:11" ht="22" customHeight="1">
      <c r="A159" s="8"/>
      <c r="B159" s="8"/>
      <c r="C159" s="8"/>
      <c r="D159" s="8"/>
      <c r="E159" s="8"/>
      <c r="F159" s="9">
        <f>IF(E159="","",IFERROR(VLOOKUP(E159,Services!$A$2:$D$4,2,FALSE),"Service à corriger"))</f>
        <v/>
      </c>
      <c r="G159" s="8"/>
      <c r="H159" s="8"/>
      <c r="I159" s="8"/>
      <c r="J159" s="8"/>
      <c r="K159" s="9">
        <f>IF(A159="","",IF(COUNTIF($A$2:$A$301,A159)&gt;1,"DOUBLON",IF(OR(B159="",C159="",D159="",COUNTIF(ListeServices,E159)&lt;&gt;1,G159="",COUNTIF(ListeMessages,H159)&lt;&gt;1),"Saisie incomplète",IF(OR(AND(I159&lt;&gt;"",I159&lt;B159),AND(J159&lt;&gt;"",OR(I159="",J159&lt;I159)),B159&gt;Parametres!$B$7),"Dates à corriger",IF(AND(H159="Traité",OR(I159="",J159="")),"Dates manquantes",IF(AND(H159="Transmis",I159=""),"Transmission manquante",IF(AND(H159&lt;&gt;"Traité",Parametres!$B$7-B159&gt;1),"À relancer","OK")))))))</f>
        <v/>
      </c>
    </row>
    <row r="160" spans="1:11" ht="22" customHeight="1">
      <c r="A160" s="8"/>
      <c r="B160" s="8"/>
      <c r="C160" s="8"/>
      <c r="D160" s="8"/>
      <c r="E160" s="8"/>
      <c r="F160" s="9">
        <f>IF(E160="","",IFERROR(VLOOKUP(E160,Services!$A$2:$D$4,2,FALSE),"Service à corriger"))</f>
        <v/>
      </c>
      <c r="G160" s="8"/>
      <c r="H160" s="8"/>
      <c r="I160" s="8"/>
      <c r="J160" s="8"/>
      <c r="K160" s="9">
        <f>IF(A160="","",IF(COUNTIF($A$2:$A$301,A160)&gt;1,"DOUBLON",IF(OR(B160="",C160="",D160="",COUNTIF(ListeServices,E160)&lt;&gt;1,G160="",COUNTIF(ListeMessages,H160)&lt;&gt;1),"Saisie incomplète",IF(OR(AND(I160&lt;&gt;"",I160&lt;B160),AND(J160&lt;&gt;"",OR(I160="",J160&lt;I160)),B160&gt;Parametres!$B$7),"Dates à corriger",IF(AND(H160="Traité",OR(I160="",J160="")),"Dates manquantes",IF(AND(H160="Transmis",I160=""),"Transmission manquante",IF(AND(H160&lt;&gt;"Traité",Parametres!$B$7-B160&gt;1),"À relancer","OK")))))))</f>
        <v/>
      </c>
    </row>
    <row r="161" spans="1:11" ht="22" customHeight="1">
      <c r="A161" s="8"/>
      <c r="B161" s="8"/>
      <c r="C161" s="8"/>
      <c r="D161" s="8"/>
      <c r="E161" s="8"/>
      <c r="F161" s="9">
        <f>IF(E161="","",IFERROR(VLOOKUP(E161,Services!$A$2:$D$4,2,FALSE),"Service à corriger"))</f>
        <v/>
      </c>
      <c r="G161" s="8"/>
      <c r="H161" s="8"/>
      <c r="I161" s="8"/>
      <c r="J161" s="8"/>
      <c r="K161" s="9">
        <f>IF(A161="","",IF(COUNTIF($A$2:$A$301,A161)&gt;1,"DOUBLON",IF(OR(B161="",C161="",D161="",COUNTIF(ListeServices,E161)&lt;&gt;1,G161="",COUNTIF(ListeMessages,H161)&lt;&gt;1),"Saisie incomplète",IF(OR(AND(I161&lt;&gt;"",I161&lt;B161),AND(J161&lt;&gt;"",OR(I161="",J161&lt;I161)),B161&gt;Parametres!$B$7),"Dates à corriger",IF(AND(H161="Traité",OR(I161="",J161="")),"Dates manquantes",IF(AND(H161="Transmis",I161=""),"Transmission manquante",IF(AND(H161&lt;&gt;"Traité",Parametres!$B$7-B161&gt;1),"À relancer","OK")))))))</f>
        <v/>
      </c>
    </row>
    <row r="162" spans="1:11" ht="22" customHeight="1">
      <c r="A162" s="8"/>
      <c r="B162" s="8"/>
      <c r="C162" s="8"/>
      <c r="D162" s="8"/>
      <c r="E162" s="8"/>
      <c r="F162" s="9">
        <f>IF(E162="","",IFERROR(VLOOKUP(E162,Services!$A$2:$D$4,2,FALSE),"Service à corriger"))</f>
        <v/>
      </c>
      <c r="G162" s="8"/>
      <c r="H162" s="8"/>
      <c r="I162" s="8"/>
      <c r="J162" s="8"/>
      <c r="K162" s="9">
        <f>IF(A162="","",IF(COUNTIF($A$2:$A$301,A162)&gt;1,"DOUBLON",IF(OR(B162="",C162="",D162="",COUNTIF(ListeServices,E162)&lt;&gt;1,G162="",COUNTIF(ListeMessages,H162)&lt;&gt;1),"Saisie incomplète",IF(OR(AND(I162&lt;&gt;"",I162&lt;B162),AND(J162&lt;&gt;"",OR(I162="",J162&lt;I162)),B162&gt;Parametres!$B$7),"Dates à corriger",IF(AND(H162="Traité",OR(I162="",J162="")),"Dates manquantes",IF(AND(H162="Transmis",I162=""),"Transmission manquante",IF(AND(H162&lt;&gt;"Traité",Parametres!$B$7-B162&gt;1),"À relancer","OK")))))))</f>
        <v/>
      </c>
    </row>
    <row r="163" spans="1:11" ht="22" customHeight="1">
      <c r="A163" s="8"/>
      <c r="B163" s="8"/>
      <c r="C163" s="8"/>
      <c r="D163" s="8"/>
      <c r="E163" s="8"/>
      <c r="F163" s="9">
        <f>IF(E163="","",IFERROR(VLOOKUP(E163,Services!$A$2:$D$4,2,FALSE),"Service à corriger"))</f>
        <v/>
      </c>
      <c r="G163" s="8"/>
      <c r="H163" s="8"/>
      <c r="I163" s="8"/>
      <c r="J163" s="8"/>
      <c r="K163" s="9">
        <f>IF(A163="","",IF(COUNTIF($A$2:$A$301,A163)&gt;1,"DOUBLON",IF(OR(B163="",C163="",D163="",COUNTIF(ListeServices,E163)&lt;&gt;1,G163="",COUNTIF(ListeMessages,H163)&lt;&gt;1),"Saisie incomplète",IF(OR(AND(I163&lt;&gt;"",I163&lt;B163),AND(J163&lt;&gt;"",OR(I163="",J163&lt;I163)),B163&gt;Parametres!$B$7),"Dates à corriger",IF(AND(H163="Traité",OR(I163="",J163="")),"Dates manquantes",IF(AND(H163="Transmis",I163=""),"Transmission manquante",IF(AND(H163&lt;&gt;"Traité",Parametres!$B$7-B163&gt;1),"À relancer","OK")))))))</f>
        <v/>
      </c>
    </row>
    <row r="164" spans="1:11" ht="22" customHeight="1">
      <c r="A164" s="8"/>
      <c r="B164" s="8"/>
      <c r="C164" s="8"/>
      <c r="D164" s="8"/>
      <c r="E164" s="8"/>
      <c r="F164" s="9">
        <f>IF(E164="","",IFERROR(VLOOKUP(E164,Services!$A$2:$D$4,2,FALSE),"Service à corriger"))</f>
        <v/>
      </c>
      <c r="G164" s="8"/>
      <c r="H164" s="8"/>
      <c r="I164" s="8"/>
      <c r="J164" s="8"/>
      <c r="K164" s="9">
        <f>IF(A164="","",IF(COUNTIF($A$2:$A$301,A164)&gt;1,"DOUBLON",IF(OR(B164="",C164="",D164="",COUNTIF(ListeServices,E164)&lt;&gt;1,G164="",COUNTIF(ListeMessages,H164)&lt;&gt;1),"Saisie incomplète",IF(OR(AND(I164&lt;&gt;"",I164&lt;B164),AND(J164&lt;&gt;"",OR(I164="",J164&lt;I164)),B164&gt;Parametres!$B$7),"Dates à corriger",IF(AND(H164="Traité",OR(I164="",J164="")),"Dates manquantes",IF(AND(H164="Transmis",I164=""),"Transmission manquante",IF(AND(H164&lt;&gt;"Traité",Parametres!$B$7-B164&gt;1),"À relancer","OK")))))))</f>
        <v/>
      </c>
    </row>
    <row r="165" spans="1:11" ht="22" customHeight="1">
      <c r="A165" s="8"/>
      <c r="B165" s="8"/>
      <c r="C165" s="8"/>
      <c r="D165" s="8"/>
      <c r="E165" s="8"/>
      <c r="F165" s="9">
        <f>IF(E165="","",IFERROR(VLOOKUP(E165,Services!$A$2:$D$4,2,FALSE),"Service à corriger"))</f>
        <v/>
      </c>
      <c r="G165" s="8"/>
      <c r="H165" s="8"/>
      <c r="I165" s="8"/>
      <c r="J165" s="8"/>
      <c r="K165" s="9">
        <f>IF(A165="","",IF(COUNTIF($A$2:$A$301,A165)&gt;1,"DOUBLON",IF(OR(B165="",C165="",D165="",COUNTIF(ListeServices,E165)&lt;&gt;1,G165="",COUNTIF(ListeMessages,H165)&lt;&gt;1),"Saisie incomplète",IF(OR(AND(I165&lt;&gt;"",I165&lt;B165),AND(J165&lt;&gt;"",OR(I165="",J165&lt;I165)),B165&gt;Parametres!$B$7),"Dates à corriger",IF(AND(H165="Traité",OR(I165="",J165="")),"Dates manquantes",IF(AND(H165="Transmis",I165=""),"Transmission manquante",IF(AND(H165&lt;&gt;"Traité",Parametres!$B$7-B165&gt;1),"À relancer","OK")))))))</f>
        <v/>
      </c>
    </row>
    <row r="166" spans="1:11" ht="22" customHeight="1">
      <c r="A166" s="8"/>
      <c r="B166" s="8"/>
      <c r="C166" s="8"/>
      <c r="D166" s="8"/>
      <c r="E166" s="8"/>
      <c r="F166" s="9">
        <f>IF(E166="","",IFERROR(VLOOKUP(E166,Services!$A$2:$D$4,2,FALSE),"Service à corriger"))</f>
        <v/>
      </c>
      <c r="G166" s="8"/>
      <c r="H166" s="8"/>
      <c r="I166" s="8"/>
      <c r="J166" s="8"/>
      <c r="K166" s="9">
        <f>IF(A166="","",IF(COUNTIF($A$2:$A$301,A166)&gt;1,"DOUBLON",IF(OR(B166="",C166="",D166="",COUNTIF(ListeServices,E166)&lt;&gt;1,G166="",COUNTIF(ListeMessages,H166)&lt;&gt;1),"Saisie incomplète",IF(OR(AND(I166&lt;&gt;"",I166&lt;B166),AND(J166&lt;&gt;"",OR(I166="",J166&lt;I166)),B166&gt;Parametres!$B$7),"Dates à corriger",IF(AND(H166="Traité",OR(I166="",J166="")),"Dates manquantes",IF(AND(H166="Transmis",I166=""),"Transmission manquante",IF(AND(H166&lt;&gt;"Traité",Parametres!$B$7-B166&gt;1),"À relancer","OK")))))))</f>
        <v/>
      </c>
    </row>
    <row r="167" spans="1:11" ht="22" customHeight="1">
      <c r="A167" s="8"/>
      <c r="B167" s="8"/>
      <c r="C167" s="8"/>
      <c r="D167" s="8"/>
      <c r="E167" s="8"/>
      <c r="F167" s="9">
        <f>IF(E167="","",IFERROR(VLOOKUP(E167,Services!$A$2:$D$4,2,FALSE),"Service à corriger"))</f>
        <v/>
      </c>
      <c r="G167" s="8"/>
      <c r="H167" s="8"/>
      <c r="I167" s="8"/>
      <c r="J167" s="8"/>
      <c r="K167" s="9">
        <f>IF(A167="","",IF(COUNTIF($A$2:$A$301,A167)&gt;1,"DOUBLON",IF(OR(B167="",C167="",D167="",COUNTIF(ListeServices,E167)&lt;&gt;1,G167="",COUNTIF(ListeMessages,H167)&lt;&gt;1),"Saisie incomplète",IF(OR(AND(I167&lt;&gt;"",I167&lt;B167),AND(J167&lt;&gt;"",OR(I167="",J167&lt;I167)),B167&gt;Parametres!$B$7),"Dates à corriger",IF(AND(H167="Traité",OR(I167="",J167="")),"Dates manquantes",IF(AND(H167="Transmis",I167=""),"Transmission manquante",IF(AND(H167&lt;&gt;"Traité",Parametres!$B$7-B167&gt;1),"À relancer","OK")))))))</f>
        <v/>
      </c>
    </row>
    <row r="168" spans="1:11" ht="22" customHeight="1">
      <c r="A168" s="8"/>
      <c r="B168" s="8"/>
      <c r="C168" s="8"/>
      <c r="D168" s="8"/>
      <c r="E168" s="8"/>
      <c r="F168" s="9">
        <f>IF(E168="","",IFERROR(VLOOKUP(E168,Services!$A$2:$D$4,2,FALSE),"Service à corriger"))</f>
        <v/>
      </c>
      <c r="G168" s="8"/>
      <c r="H168" s="8"/>
      <c r="I168" s="8"/>
      <c r="J168" s="8"/>
      <c r="K168" s="9">
        <f>IF(A168="","",IF(COUNTIF($A$2:$A$301,A168)&gt;1,"DOUBLON",IF(OR(B168="",C168="",D168="",COUNTIF(ListeServices,E168)&lt;&gt;1,G168="",COUNTIF(ListeMessages,H168)&lt;&gt;1),"Saisie incomplète",IF(OR(AND(I168&lt;&gt;"",I168&lt;B168),AND(J168&lt;&gt;"",OR(I168="",J168&lt;I168)),B168&gt;Parametres!$B$7),"Dates à corriger",IF(AND(H168="Traité",OR(I168="",J168="")),"Dates manquantes",IF(AND(H168="Transmis",I168=""),"Transmission manquante",IF(AND(H168&lt;&gt;"Traité",Parametres!$B$7-B168&gt;1),"À relancer","OK")))))))</f>
        <v/>
      </c>
    </row>
    <row r="169" spans="1:11" ht="22" customHeight="1">
      <c r="A169" s="8"/>
      <c r="B169" s="8"/>
      <c r="C169" s="8"/>
      <c r="D169" s="8"/>
      <c r="E169" s="8"/>
      <c r="F169" s="9">
        <f>IF(E169="","",IFERROR(VLOOKUP(E169,Services!$A$2:$D$4,2,FALSE),"Service à corriger"))</f>
        <v/>
      </c>
      <c r="G169" s="8"/>
      <c r="H169" s="8"/>
      <c r="I169" s="8"/>
      <c r="J169" s="8"/>
      <c r="K169" s="9">
        <f>IF(A169="","",IF(COUNTIF($A$2:$A$301,A169)&gt;1,"DOUBLON",IF(OR(B169="",C169="",D169="",COUNTIF(ListeServices,E169)&lt;&gt;1,G169="",COUNTIF(ListeMessages,H169)&lt;&gt;1),"Saisie incomplète",IF(OR(AND(I169&lt;&gt;"",I169&lt;B169),AND(J169&lt;&gt;"",OR(I169="",J169&lt;I169)),B169&gt;Parametres!$B$7),"Dates à corriger",IF(AND(H169="Traité",OR(I169="",J169="")),"Dates manquantes",IF(AND(H169="Transmis",I169=""),"Transmission manquante",IF(AND(H169&lt;&gt;"Traité",Parametres!$B$7-B169&gt;1),"À relancer","OK")))))))</f>
        <v/>
      </c>
    </row>
    <row r="170" spans="1:11" ht="22" customHeight="1">
      <c r="A170" s="8"/>
      <c r="B170" s="8"/>
      <c r="C170" s="8"/>
      <c r="D170" s="8"/>
      <c r="E170" s="8"/>
      <c r="F170" s="9">
        <f>IF(E170="","",IFERROR(VLOOKUP(E170,Services!$A$2:$D$4,2,FALSE),"Service à corriger"))</f>
        <v/>
      </c>
      <c r="G170" s="8"/>
      <c r="H170" s="8"/>
      <c r="I170" s="8"/>
      <c r="J170" s="8"/>
      <c r="K170" s="9">
        <f>IF(A170="","",IF(COUNTIF($A$2:$A$301,A170)&gt;1,"DOUBLON",IF(OR(B170="",C170="",D170="",COUNTIF(ListeServices,E170)&lt;&gt;1,G170="",COUNTIF(ListeMessages,H170)&lt;&gt;1),"Saisie incomplète",IF(OR(AND(I170&lt;&gt;"",I170&lt;B170),AND(J170&lt;&gt;"",OR(I170="",J170&lt;I170)),B170&gt;Parametres!$B$7),"Dates à corriger",IF(AND(H170="Traité",OR(I170="",J170="")),"Dates manquantes",IF(AND(H170="Transmis",I170=""),"Transmission manquante",IF(AND(H170&lt;&gt;"Traité",Parametres!$B$7-B170&gt;1),"À relancer","OK")))))))</f>
        <v/>
      </c>
    </row>
    <row r="171" spans="1:11" ht="22" customHeight="1">
      <c r="A171" s="8"/>
      <c r="B171" s="8"/>
      <c r="C171" s="8"/>
      <c r="D171" s="8"/>
      <c r="E171" s="8"/>
      <c r="F171" s="9">
        <f>IF(E171="","",IFERROR(VLOOKUP(E171,Services!$A$2:$D$4,2,FALSE),"Service à corriger"))</f>
        <v/>
      </c>
      <c r="G171" s="8"/>
      <c r="H171" s="8"/>
      <c r="I171" s="8"/>
      <c r="J171" s="8"/>
      <c r="K171" s="9">
        <f>IF(A171="","",IF(COUNTIF($A$2:$A$301,A171)&gt;1,"DOUBLON",IF(OR(B171="",C171="",D171="",COUNTIF(ListeServices,E171)&lt;&gt;1,G171="",COUNTIF(ListeMessages,H171)&lt;&gt;1),"Saisie incomplète",IF(OR(AND(I171&lt;&gt;"",I171&lt;B171),AND(J171&lt;&gt;"",OR(I171="",J171&lt;I171)),B171&gt;Parametres!$B$7),"Dates à corriger",IF(AND(H171="Traité",OR(I171="",J171="")),"Dates manquantes",IF(AND(H171="Transmis",I171=""),"Transmission manquante",IF(AND(H171&lt;&gt;"Traité",Parametres!$B$7-B171&gt;1),"À relancer","OK")))))))</f>
        <v/>
      </c>
    </row>
    <row r="172" spans="1:11" ht="22" customHeight="1">
      <c r="A172" s="8"/>
      <c r="B172" s="8"/>
      <c r="C172" s="8"/>
      <c r="D172" s="8"/>
      <c r="E172" s="8"/>
      <c r="F172" s="9">
        <f>IF(E172="","",IFERROR(VLOOKUP(E172,Services!$A$2:$D$4,2,FALSE),"Service à corriger"))</f>
        <v/>
      </c>
      <c r="G172" s="8"/>
      <c r="H172" s="8"/>
      <c r="I172" s="8"/>
      <c r="J172" s="8"/>
      <c r="K172" s="9">
        <f>IF(A172="","",IF(COUNTIF($A$2:$A$301,A172)&gt;1,"DOUBLON",IF(OR(B172="",C172="",D172="",COUNTIF(ListeServices,E172)&lt;&gt;1,G172="",COUNTIF(ListeMessages,H172)&lt;&gt;1),"Saisie incomplète",IF(OR(AND(I172&lt;&gt;"",I172&lt;B172),AND(J172&lt;&gt;"",OR(I172="",J172&lt;I172)),B172&gt;Parametres!$B$7),"Dates à corriger",IF(AND(H172="Traité",OR(I172="",J172="")),"Dates manquantes",IF(AND(H172="Transmis",I172=""),"Transmission manquante",IF(AND(H172&lt;&gt;"Traité",Parametres!$B$7-B172&gt;1),"À relancer","OK")))))))</f>
        <v/>
      </c>
    </row>
    <row r="173" spans="1:11" ht="22" customHeight="1">
      <c r="A173" s="8"/>
      <c r="B173" s="8"/>
      <c r="C173" s="8"/>
      <c r="D173" s="8"/>
      <c r="E173" s="8"/>
      <c r="F173" s="9">
        <f>IF(E173="","",IFERROR(VLOOKUP(E173,Services!$A$2:$D$4,2,FALSE),"Service à corriger"))</f>
        <v/>
      </c>
      <c r="G173" s="8"/>
      <c r="H173" s="8"/>
      <c r="I173" s="8"/>
      <c r="J173" s="8"/>
      <c r="K173" s="9">
        <f>IF(A173="","",IF(COUNTIF($A$2:$A$301,A173)&gt;1,"DOUBLON",IF(OR(B173="",C173="",D173="",COUNTIF(ListeServices,E173)&lt;&gt;1,G173="",COUNTIF(ListeMessages,H173)&lt;&gt;1),"Saisie incomplète",IF(OR(AND(I173&lt;&gt;"",I173&lt;B173),AND(J173&lt;&gt;"",OR(I173="",J173&lt;I173)),B173&gt;Parametres!$B$7),"Dates à corriger",IF(AND(H173="Traité",OR(I173="",J173="")),"Dates manquantes",IF(AND(H173="Transmis",I173=""),"Transmission manquante",IF(AND(H173&lt;&gt;"Traité",Parametres!$B$7-B173&gt;1),"À relancer","OK")))))))</f>
        <v/>
      </c>
    </row>
    <row r="174" spans="1:11" ht="22" customHeight="1">
      <c r="A174" s="8"/>
      <c r="B174" s="8"/>
      <c r="C174" s="8"/>
      <c r="D174" s="8"/>
      <c r="E174" s="8"/>
      <c r="F174" s="9">
        <f>IF(E174="","",IFERROR(VLOOKUP(E174,Services!$A$2:$D$4,2,FALSE),"Service à corriger"))</f>
        <v/>
      </c>
      <c r="G174" s="8"/>
      <c r="H174" s="8"/>
      <c r="I174" s="8"/>
      <c r="J174" s="8"/>
      <c r="K174" s="9">
        <f>IF(A174="","",IF(COUNTIF($A$2:$A$301,A174)&gt;1,"DOUBLON",IF(OR(B174="",C174="",D174="",COUNTIF(ListeServices,E174)&lt;&gt;1,G174="",COUNTIF(ListeMessages,H174)&lt;&gt;1),"Saisie incomplète",IF(OR(AND(I174&lt;&gt;"",I174&lt;B174),AND(J174&lt;&gt;"",OR(I174="",J174&lt;I174)),B174&gt;Parametres!$B$7),"Dates à corriger",IF(AND(H174="Traité",OR(I174="",J174="")),"Dates manquantes",IF(AND(H174="Transmis",I174=""),"Transmission manquante",IF(AND(H174&lt;&gt;"Traité",Parametres!$B$7-B174&gt;1),"À relancer","OK")))))))</f>
        <v/>
      </c>
    </row>
    <row r="175" spans="1:11" ht="22" customHeight="1">
      <c r="A175" s="8"/>
      <c r="B175" s="8"/>
      <c r="C175" s="8"/>
      <c r="D175" s="8"/>
      <c r="E175" s="8"/>
      <c r="F175" s="9">
        <f>IF(E175="","",IFERROR(VLOOKUP(E175,Services!$A$2:$D$4,2,FALSE),"Service à corriger"))</f>
        <v/>
      </c>
      <c r="G175" s="8"/>
      <c r="H175" s="8"/>
      <c r="I175" s="8"/>
      <c r="J175" s="8"/>
      <c r="K175" s="9">
        <f>IF(A175="","",IF(COUNTIF($A$2:$A$301,A175)&gt;1,"DOUBLON",IF(OR(B175="",C175="",D175="",COUNTIF(ListeServices,E175)&lt;&gt;1,G175="",COUNTIF(ListeMessages,H175)&lt;&gt;1),"Saisie incomplète",IF(OR(AND(I175&lt;&gt;"",I175&lt;B175),AND(J175&lt;&gt;"",OR(I175="",J175&lt;I175)),B175&gt;Parametres!$B$7),"Dates à corriger",IF(AND(H175="Traité",OR(I175="",J175="")),"Dates manquantes",IF(AND(H175="Transmis",I175=""),"Transmission manquante",IF(AND(H175&lt;&gt;"Traité",Parametres!$B$7-B175&gt;1),"À relancer","OK")))))))</f>
        <v/>
      </c>
    </row>
    <row r="176" spans="1:11" ht="22" customHeight="1">
      <c r="A176" s="8"/>
      <c r="B176" s="8"/>
      <c r="C176" s="8"/>
      <c r="D176" s="8"/>
      <c r="E176" s="8"/>
      <c r="F176" s="9">
        <f>IF(E176="","",IFERROR(VLOOKUP(E176,Services!$A$2:$D$4,2,FALSE),"Service à corriger"))</f>
        <v/>
      </c>
      <c r="G176" s="8"/>
      <c r="H176" s="8"/>
      <c r="I176" s="8"/>
      <c r="J176" s="8"/>
      <c r="K176" s="9">
        <f>IF(A176="","",IF(COUNTIF($A$2:$A$301,A176)&gt;1,"DOUBLON",IF(OR(B176="",C176="",D176="",COUNTIF(ListeServices,E176)&lt;&gt;1,G176="",COUNTIF(ListeMessages,H176)&lt;&gt;1),"Saisie incomplète",IF(OR(AND(I176&lt;&gt;"",I176&lt;B176),AND(J176&lt;&gt;"",OR(I176="",J176&lt;I176)),B176&gt;Parametres!$B$7),"Dates à corriger",IF(AND(H176="Traité",OR(I176="",J176="")),"Dates manquantes",IF(AND(H176="Transmis",I176=""),"Transmission manquante",IF(AND(H176&lt;&gt;"Traité",Parametres!$B$7-B176&gt;1),"À relancer","OK")))))))</f>
        <v/>
      </c>
    </row>
    <row r="177" spans="1:11" ht="22" customHeight="1">
      <c r="A177" s="8"/>
      <c r="B177" s="8"/>
      <c r="C177" s="8"/>
      <c r="D177" s="8"/>
      <c r="E177" s="8"/>
      <c r="F177" s="9">
        <f>IF(E177="","",IFERROR(VLOOKUP(E177,Services!$A$2:$D$4,2,FALSE),"Service à corriger"))</f>
        <v/>
      </c>
      <c r="G177" s="8"/>
      <c r="H177" s="8"/>
      <c r="I177" s="8"/>
      <c r="J177" s="8"/>
      <c r="K177" s="9">
        <f>IF(A177="","",IF(COUNTIF($A$2:$A$301,A177)&gt;1,"DOUBLON",IF(OR(B177="",C177="",D177="",COUNTIF(ListeServices,E177)&lt;&gt;1,G177="",COUNTIF(ListeMessages,H177)&lt;&gt;1),"Saisie incomplète",IF(OR(AND(I177&lt;&gt;"",I177&lt;B177),AND(J177&lt;&gt;"",OR(I177="",J177&lt;I177)),B177&gt;Parametres!$B$7),"Dates à corriger",IF(AND(H177="Traité",OR(I177="",J177="")),"Dates manquantes",IF(AND(H177="Transmis",I177=""),"Transmission manquante",IF(AND(H177&lt;&gt;"Traité",Parametres!$B$7-B177&gt;1),"À relancer","OK")))))))</f>
        <v/>
      </c>
    </row>
    <row r="178" spans="1:11" ht="22" customHeight="1">
      <c r="A178" s="8"/>
      <c r="B178" s="8"/>
      <c r="C178" s="8"/>
      <c r="D178" s="8"/>
      <c r="E178" s="8"/>
      <c r="F178" s="9">
        <f>IF(E178="","",IFERROR(VLOOKUP(E178,Services!$A$2:$D$4,2,FALSE),"Service à corriger"))</f>
        <v/>
      </c>
      <c r="G178" s="8"/>
      <c r="H178" s="8"/>
      <c r="I178" s="8"/>
      <c r="J178" s="8"/>
      <c r="K178" s="9">
        <f>IF(A178="","",IF(COUNTIF($A$2:$A$301,A178)&gt;1,"DOUBLON",IF(OR(B178="",C178="",D178="",COUNTIF(ListeServices,E178)&lt;&gt;1,G178="",COUNTIF(ListeMessages,H178)&lt;&gt;1),"Saisie incomplète",IF(OR(AND(I178&lt;&gt;"",I178&lt;B178),AND(J178&lt;&gt;"",OR(I178="",J178&lt;I178)),B178&gt;Parametres!$B$7),"Dates à corriger",IF(AND(H178="Traité",OR(I178="",J178="")),"Dates manquantes",IF(AND(H178="Transmis",I178=""),"Transmission manquante",IF(AND(H178&lt;&gt;"Traité",Parametres!$B$7-B178&gt;1),"À relancer","OK")))))))</f>
        <v/>
      </c>
    </row>
    <row r="179" spans="1:11" ht="22" customHeight="1">
      <c r="A179" s="8"/>
      <c r="B179" s="8"/>
      <c r="C179" s="8"/>
      <c r="D179" s="8"/>
      <c r="E179" s="8"/>
      <c r="F179" s="9">
        <f>IF(E179="","",IFERROR(VLOOKUP(E179,Services!$A$2:$D$4,2,FALSE),"Service à corriger"))</f>
        <v/>
      </c>
      <c r="G179" s="8"/>
      <c r="H179" s="8"/>
      <c r="I179" s="8"/>
      <c r="J179" s="8"/>
      <c r="K179" s="9">
        <f>IF(A179="","",IF(COUNTIF($A$2:$A$301,A179)&gt;1,"DOUBLON",IF(OR(B179="",C179="",D179="",COUNTIF(ListeServices,E179)&lt;&gt;1,G179="",COUNTIF(ListeMessages,H179)&lt;&gt;1),"Saisie incomplète",IF(OR(AND(I179&lt;&gt;"",I179&lt;B179),AND(J179&lt;&gt;"",OR(I179="",J179&lt;I179)),B179&gt;Parametres!$B$7),"Dates à corriger",IF(AND(H179="Traité",OR(I179="",J179="")),"Dates manquantes",IF(AND(H179="Transmis",I179=""),"Transmission manquante",IF(AND(H179&lt;&gt;"Traité",Parametres!$B$7-B179&gt;1),"À relancer","OK")))))))</f>
        <v/>
      </c>
    </row>
    <row r="180" spans="1:11" ht="22" customHeight="1">
      <c r="A180" s="8"/>
      <c r="B180" s="8"/>
      <c r="C180" s="8"/>
      <c r="D180" s="8"/>
      <c r="E180" s="8"/>
      <c r="F180" s="9">
        <f>IF(E180="","",IFERROR(VLOOKUP(E180,Services!$A$2:$D$4,2,FALSE),"Service à corriger"))</f>
        <v/>
      </c>
      <c r="G180" s="8"/>
      <c r="H180" s="8"/>
      <c r="I180" s="8"/>
      <c r="J180" s="8"/>
      <c r="K180" s="9">
        <f>IF(A180="","",IF(COUNTIF($A$2:$A$301,A180)&gt;1,"DOUBLON",IF(OR(B180="",C180="",D180="",COUNTIF(ListeServices,E180)&lt;&gt;1,G180="",COUNTIF(ListeMessages,H180)&lt;&gt;1),"Saisie incomplète",IF(OR(AND(I180&lt;&gt;"",I180&lt;B180),AND(J180&lt;&gt;"",OR(I180="",J180&lt;I180)),B180&gt;Parametres!$B$7),"Dates à corriger",IF(AND(H180="Traité",OR(I180="",J180="")),"Dates manquantes",IF(AND(H180="Transmis",I180=""),"Transmission manquante",IF(AND(H180&lt;&gt;"Traité",Parametres!$B$7-B180&gt;1),"À relancer","OK")))))))</f>
        <v/>
      </c>
    </row>
    <row r="181" spans="1:11" ht="22" customHeight="1">
      <c r="A181" s="8"/>
      <c r="B181" s="8"/>
      <c r="C181" s="8"/>
      <c r="D181" s="8"/>
      <c r="E181" s="8"/>
      <c r="F181" s="9">
        <f>IF(E181="","",IFERROR(VLOOKUP(E181,Services!$A$2:$D$4,2,FALSE),"Service à corriger"))</f>
        <v/>
      </c>
      <c r="G181" s="8"/>
      <c r="H181" s="8"/>
      <c r="I181" s="8"/>
      <c r="J181" s="8"/>
      <c r="K181" s="9">
        <f>IF(A181="","",IF(COUNTIF($A$2:$A$301,A181)&gt;1,"DOUBLON",IF(OR(B181="",C181="",D181="",COUNTIF(ListeServices,E181)&lt;&gt;1,G181="",COUNTIF(ListeMessages,H181)&lt;&gt;1),"Saisie incomplète",IF(OR(AND(I181&lt;&gt;"",I181&lt;B181),AND(J181&lt;&gt;"",OR(I181="",J181&lt;I181)),B181&gt;Parametres!$B$7),"Dates à corriger",IF(AND(H181="Traité",OR(I181="",J181="")),"Dates manquantes",IF(AND(H181="Transmis",I181=""),"Transmission manquante",IF(AND(H181&lt;&gt;"Traité",Parametres!$B$7-B181&gt;1),"À relancer","OK")))))))</f>
        <v/>
      </c>
    </row>
    <row r="182" spans="1:11" ht="22" customHeight="1">
      <c r="A182" s="8"/>
      <c r="B182" s="8"/>
      <c r="C182" s="8"/>
      <c r="D182" s="8"/>
      <c r="E182" s="8"/>
      <c r="F182" s="9">
        <f>IF(E182="","",IFERROR(VLOOKUP(E182,Services!$A$2:$D$4,2,FALSE),"Service à corriger"))</f>
        <v/>
      </c>
      <c r="G182" s="8"/>
      <c r="H182" s="8"/>
      <c r="I182" s="8"/>
      <c r="J182" s="8"/>
      <c r="K182" s="9">
        <f>IF(A182="","",IF(COUNTIF($A$2:$A$301,A182)&gt;1,"DOUBLON",IF(OR(B182="",C182="",D182="",COUNTIF(ListeServices,E182)&lt;&gt;1,G182="",COUNTIF(ListeMessages,H182)&lt;&gt;1),"Saisie incomplète",IF(OR(AND(I182&lt;&gt;"",I182&lt;B182),AND(J182&lt;&gt;"",OR(I182="",J182&lt;I182)),B182&gt;Parametres!$B$7),"Dates à corriger",IF(AND(H182="Traité",OR(I182="",J182="")),"Dates manquantes",IF(AND(H182="Transmis",I182=""),"Transmission manquante",IF(AND(H182&lt;&gt;"Traité",Parametres!$B$7-B182&gt;1),"À relancer","OK")))))))</f>
        <v/>
      </c>
    </row>
    <row r="183" spans="1:11" ht="22" customHeight="1">
      <c r="A183" s="8"/>
      <c r="B183" s="8"/>
      <c r="C183" s="8"/>
      <c r="D183" s="8"/>
      <c r="E183" s="8"/>
      <c r="F183" s="9">
        <f>IF(E183="","",IFERROR(VLOOKUP(E183,Services!$A$2:$D$4,2,FALSE),"Service à corriger"))</f>
        <v/>
      </c>
      <c r="G183" s="8"/>
      <c r="H183" s="8"/>
      <c r="I183" s="8"/>
      <c r="J183" s="8"/>
      <c r="K183" s="9">
        <f>IF(A183="","",IF(COUNTIF($A$2:$A$301,A183)&gt;1,"DOUBLON",IF(OR(B183="",C183="",D183="",COUNTIF(ListeServices,E183)&lt;&gt;1,G183="",COUNTIF(ListeMessages,H183)&lt;&gt;1),"Saisie incomplète",IF(OR(AND(I183&lt;&gt;"",I183&lt;B183),AND(J183&lt;&gt;"",OR(I183="",J183&lt;I183)),B183&gt;Parametres!$B$7),"Dates à corriger",IF(AND(H183="Traité",OR(I183="",J183="")),"Dates manquantes",IF(AND(H183="Transmis",I183=""),"Transmission manquante",IF(AND(H183&lt;&gt;"Traité",Parametres!$B$7-B183&gt;1),"À relancer","OK")))))))</f>
        <v/>
      </c>
    </row>
    <row r="184" spans="1:11" ht="22" customHeight="1">
      <c r="A184" s="8"/>
      <c r="B184" s="8"/>
      <c r="C184" s="8"/>
      <c r="D184" s="8"/>
      <c r="E184" s="8"/>
      <c r="F184" s="9">
        <f>IF(E184="","",IFERROR(VLOOKUP(E184,Services!$A$2:$D$4,2,FALSE),"Service à corriger"))</f>
        <v/>
      </c>
      <c r="G184" s="8"/>
      <c r="H184" s="8"/>
      <c r="I184" s="8"/>
      <c r="J184" s="8"/>
      <c r="K184" s="9">
        <f>IF(A184="","",IF(COUNTIF($A$2:$A$301,A184)&gt;1,"DOUBLON",IF(OR(B184="",C184="",D184="",COUNTIF(ListeServices,E184)&lt;&gt;1,G184="",COUNTIF(ListeMessages,H184)&lt;&gt;1),"Saisie incomplète",IF(OR(AND(I184&lt;&gt;"",I184&lt;B184),AND(J184&lt;&gt;"",OR(I184="",J184&lt;I184)),B184&gt;Parametres!$B$7),"Dates à corriger",IF(AND(H184="Traité",OR(I184="",J184="")),"Dates manquantes",IF(AND(H184="Transmis",I184=""),"Transmission manquante",IF(AND(H184&lt;&gt;"Traité",Parametres!$B$7-B184&gt;1),"À relancer","OK")))))))</f>
        <v/>
      </c>
    </row>
    <row r="185" spans="1:11" ht="22" customHeight="1">
      <c r="A185" s="8"/>
      <c r="B185" s="8"/>
      <c r="C185" s="8"/>
      <c r="D185" s="8"/>
      <c r="E185" s="8"/>
      <c r="F185" s="9">
        <f>IF(E185="","",IFERROR(VLOOKUP(E185,Services!$A$2:$D$4,2,FALSE),"Service à corriger"))</f>
        <v/>
      </c>
      <c r="G185" s="8"/>
      <c r="H185" s="8"/>
      <c r="I185" s="8"/>
      <c r="J185" s="8"/>
      <c r="K185" s="9">
        <f>IF(A185="","",IF(COUNTIF($A$2:$A$301,A185)&gt;1,"DOUBLON",IF(OR(B185="",C185="",D185="",COUNTIF(ListeServices,E185)&lt;&gt;1,G185="",COUNTIF(ListeMessages,H185)&lt;&gt;1),"Saisie incomplète",IF(OR(AND(I185&lt;&gt;"",I185&lt;B185),AND(J185&lt;&gt;"",OR(I185="",J185&lt;I185)),B185&gt;Parametres!$B$7),"Dates à corriger",IF(AND(H185="Traité",OR(I185="",J185="")),"Dates manquantes",IF(AND(H185="Transmis",I185=""),"Transmission manquante",IF(AND(H185&lt;&gt;"Traité",Parametres!$B$7-B185&gt;1),"À relancer","OK")))))))</f>
        <v/>
      </c>
    </row>
    <row r="186" spans="1:11" ht="22" customHeight="1">
      <c r="A186" s="8"/>
      <c r="B186" s="8"/>
      <c r="C186" s="8"/>
      <c r="D186" s="8"/>
      <c r="E186" s="8"/>
      <c r="F186" s="9">
        <f>IF(E186="","",IFERROR(VLOOKUP(E186,Services!$A$2:$D$4,2,FALSE),"Service à corriger"))</f>
        <v/>
      </c>
      <c r="G186" s="8"/>
      <c r="H186" s="8"/>
      <c r="I186" s="8"/>
      <c r="J186" s="8"/>
      <c r="K186" s="9">
        <f>IF(A186="","",IF(COUNTIF($A$2:$A$301,A186)&gt;1,"DOUBLON",IF(OR(B186="",C186="",D186="",COUNTIF(ListeServices,E186)&lt;&gt;1,G186="",COUNTIF(ListeMessages,H186)&lt;&gt;1),"Saisie incomplète",IF(OR(AND(I186&lt;&gt;"",I186&lt;B186),AND(J186&lt;&gt;"",OR(I186="",J186&lt;I186)),B186&gt;Parametres!$B$7),"Dates à corriger",IF(AND(H186="Traité",OR(I186="",J186="")),"Dates manquantes",IF(AND(H186="Transmis",I186=""),"Transmission manquante",IF(AND(H186&lt;&gt;"Traité",Parametres!$B$7-B186&gt;1),"À relancer","OK")))))))</f>
        <v/>
      </c>
    </row>
    <row r="187" spans="1:11" ht="22" customHeight="1">
      <c r="A187" s="8"/>
      <c r="B187" s="8"/>
      <c r="C187" s="8"/>
      <c r="D187" s="8"/>
      <c r="E187" s="8"/>
      <c r="F187" s="9">
        <f>IF(E187="","",IFERROR(VLOOKUP(E187,Services!$A$2:$D$4,2,FALSE),"Service à corriger"))</f>
        <v/>
      </c>
      <c r="G187" s="8"/>
      <c r="H187" s="8"/>
      <c r="I187" s="8"/>
      <c r="J187" s="8"/>
      <c r="K187" s="9">
        <f>IF(A187="","",IF(COUNTIF($A$2:$A$301,A187)&gt;1,"DOUBLON",IF(OR(B187="",C187="",D187="",COUNTIF(ListeServices,E187)&lt;&gt;1,G187="",COUNTIF(ListeMessages,H187)&lt;&gt;1),"Saisie incomplète",IF(OR(AND(I187&lt;&gt;"",I187&lt;B187),AND(J187&lt;&gt;"",OR(I187="",J187&lt;I187)),B187&gt;Parametres!$B$7),"Dates à corriger",IF(AND(H187="Traité",OR(I187="",J187="")),"Dates manquantes",IF(AND(H187="Transmis",I187=""),"Transmission manquante",IF(AND(H187&lt;&gt;"Traité",Parametres!$B$7-B187&gt;1),"À relancer","OK")))))))</f>
        <v/>
      </c>
    </row>
    <row r="188" spans="1:11" ht="22" customHeight="1">
      <c r="A188" s="8"/>
      <c r="B188" s="8"/>
      <c r="C188" s="8"/>
      <c r="D188" s="8"/>
      <c r="E188" s="8"/>
      <c r="F188" s="9">
        <f>IF(E188="","",IFERROR(VLOOKUP(E188,Services!$A$2:$D$4,2,FALSE),"Service à corriger"))</f>
        <v/>
      </c>
      <c r="G188" s="8"/>
      <c r="H188" s="8"/>
      <c r="I188" s="8"/>
      <c r="J188" s="8"/>
      <c r="K188" s="9">
        <f>IF(A188="","",IF(COUNTIF($A$2:$A$301,A188)&gt;1,"DOUBLON",IF(OR(B188="",C188="",D188="",COUNTIF(ListeServices,E188)&lt;&gt;1,G188="",COUNTIF(ListeMessages,H188)&lt;&gt;1),"Saisie incomplète",IF(OR(AND(I188&lt;&gt;"",I188&lt;B188),AND(J188&lt;&gt;"",OR(I188="",J188&lt;I188)),B188&gt;Parametres!$B$7),"Dates à corriger",IF(AND(H188="Traité",OR(I188="",J188="")),"Dates manquantes",IF(AND(H188="Transmis",I188=""),"Transmission manquante",IF(AND(H188&lt;&gt;"Traité",Parametres!$B$7-B188&gt;1),"À relancer","OK")))))))</f>
        <v/>
      </c>
    </row>
    <row r="189" spans="1:11" ht="22" customHeight="1">
      <c r="A189" s="8"/>
      <c r="B189" s="8"/>
      <c r="C189" s="8"/>
      <c r="D189" s="8"/>
      <c r="E189" s="8"/>
      <c r="F189" s="9">
        <f>IF(E189="","",IFERROR(VLOOKUP(E189,Services!$A$2:$D$4,2,FALSE),"Service à corriger"))</f>
        <v/>
      </c>
      <c r="G189" s="8"/>
      <c r="H189" s="8"/>
      <c r="I189" s="8"/>
      <c r="J189" s="8"/>
      <c r="K189" s="9">
        <f>IF(A189="","",IF(COUNTIF($A$2:$A$301,A189)&gt;1,"DOUBLON",IF(OR(B189="",C189="",D189="",COUNTIF(ListeServices,E189)&lt;&gt;1,G189="",COUNTIF(ListeMessages,H189)&lt;&gt;1),"Saisie incomplète",IF(OR(AND(I189&lt;&gt;"",I189&lt;B189),AND(J189&lt;&gt;"",OR(I189="",J189&lt;I189)),B189&gt;Parametres!$B$7),"Dates à corriger",IF(AND(H189="Traité",OR(I189="",J189="")),"Dates manquantes",IF(AND(H189="Transmis",I189=""),"Transmission manquante",IF(AND(H189&lt;&gt;"Traité",Parametres!$B$7-B189&gt;1),"À relancer","OK")))))))</f>
        <v/>
      </c>
    </row>
    <row r="190" spans="1:11" ht="22" customHeight="1">
      <c r="A190" s="8"/>
      <c r="B190" s="8"/>
      <c r="C190" s="8"/>
      <c r="D190" s="8"/>
      <c r="E190" s="8"/>
      <c r="F190" s="9">
        <f>IF(E190="","",IFERROR(VLOOKUP(E190,Services!$A$2:$D$4,2,FALSE),"Service à corriger"))</f>
        <v/>
      </c>
      <c r="G190" s="8"/>
      <c r="H190" s="8"/>
      <c r="I190" s="8"/>
      <c r="J190" s="8"/>
      <c r="K190" s="9">
        <f>IF(A190="","",IF(COUNTIF($A$2:$A$301,A190)&gt;1,"DOUBLON",IF(OR(B190="",C190="",D190="",COUNTIF(ListeServices,E190)&lt;&gt;1,G190="",COUNTIF(ListeMessages,H190)&lt;&gt;1),"Saisie incomplète",IF(OR(AND(I190&lt;&gt;"",I190&lt;B190),AND(J190&lt;&gt;"",OR(I190="",J190&lt;I190)),B190&gt;Parametres!$B$7),"Dates à corriger",IF(AND(H190="Traité",OR(I190="",J190="")),"Dates manquantes",IF(AND(H190="Transmis",I190=""),"Transmission manquante",IF(AND(H190&lt;&gt;"Traité",Parametres!$B$7-B190&gt;1),"À relancer","OK")))))))</f>
        <v/>
      </c>
    </row>
    <row r="191" spans="1:11" ht="22" customHeight="1">
      <c r="A191" s="8"/>
      <c r="B191" s="8"/>
      <c r="C191" s="8"/>
      <c r="D191" s="8"/>
      <c r="E191" s="8"/>
      <c r="F191" s="9">
        <f>IF(E191="","",IFERROR(VLOOKUP(E191,Services!$A$2:$D$4,2,FALSE),"Service à corriger"))</f>
        <v/>
      </c>
      <c r="G191" s="8"/>
      <c r="H191" s="8"/>
      <c r="I191" s="8"/>
      <c r="J191" s="8"/>
      <c r="K191" s="9">
        <f>IF(A191="","",IF(COUNTIF($A$2:$A$301,A191)&gt;1,"DOUBLON",IF(OR(B191="",C191="",D191="",COUNTIF(ListeServices,E191)&lt;&gt;1,G191="",COUNTIF(ListeMessages,H191)&lt;&gt;1),"Saisie incomplète",IF(OR(AND(I191&lt;&gt;"",I191&lt;B191),AND(J191&lt;&gt;"",OR(I191="",J191&lt;I191)),B191&gt;Parametres!$B$7),"Dates à corriger",IF(AND(H191="Traité",OR(I191="",J191="")),"Dates manquantes",IF(AND(H191="Transmis",I191=""),"Transmission manquante",IF(AND(H191&lt;&gt;"Traité",Parametres!$B$7-B191&gt;1),"À relancer","OK")))))))</f>
        <v/>
      </c>
    </row>
    <row r="192" spans="1:11" ht="22" customHeight="1">
      <c r="A192" s="8"/>
      <c r="B192" s="8"/>
      <c r="C192" s="8"/>
      <c r="D192" s="8"/>
      <c r="E192" s="8"/>
      <c r="F192" s="9">
        <f>IF(E192="","",IFERROR(VLOOKUP(E192,Services!$A$2:$D$4,2,FALSE),"Service à corriger"))</f>
        <v/>
      </c>
      <c r="G192" s="8"/>
      <c r="H192" s="8"/>
      <c r="I192" s="8"/>
      <c r="J192" s="8"/>
      <c r="K192" s="9">
        <f>IF(A192="","",IF(COUNTIF($A$2:$A$301,A192)&gt;1,"DOUBLON",IF(OR(B192="",C192="",D192="",COUNTIF(ListeServices,E192)&lt;&gt;1,G192="",COUNTIF(ListeMessages,H192)&lt;&gt;1),"Saisie incomplète",IF(OR(AND(I192&lt;&gt;"",I192&lt;B192),AND(J192&lt;&gt;"",OR(I192="",J192&lt;I192)),B192&gt;Parametres!$B$7),"Dates à corriger",IF(AND(H192="Traité",OR(I192="",J192="")),"Dates manquantes",IF(AND(H192="Transmis",I192=""),"Transmission manquante",IF(AND(H192&lt;&gt;"Traité",Parametres!$B$7-B192&gt;1),"À relancer","OK")))))))</f>
        <v/>
      </c>
    </row>
    <row r="193" spans="1:11" ht="22" customHeight="1">
      <c r="A193" s="8"/>
      <c r="B193" s="8"/>
      <c r="C193" s="8"/>
      <c r="D193" s="8"/>
      <c r="E193" s="8"/>
      <c r="F193" s="9">
        <f>IF(E193="","",IFERROR(VLOOKUP(E193,Services!$A$2:$D$4,2,FALSE),"Service à corriger"))</f>
        <v/>
      </c>
      <c r="G193" s="8"/>
      <c r="H193" s="8"/>
      <c r="I193" s="8"/>
      <c r="J193" s="8"/>
      <c r="K193" s="9">
        <f>IF(A193="","",IF(COUNTIF($A$2:$A$301,A193)&gt;1,"DOUBLON",IF(OR(B193="",C193="",D193="",COUNTIF(ListeServices,E193)&lt;&gt;1,G193="",COUNTIF(ListeMessages,H193)&lt;&gt;1),"Saisie incomplète",IF(OR(AND(I193&lt;&gt;"",I193&lt;B193),AND(J193&lt;&gt;"",OR(I193="",J193&lt;I193)),B193&gt;Parametres!$B$7),"Dates à corriger",IF(AND(H193="Traité",OR(I193="",J193="")),"Dates manquantes",IF(AND(H193="Transmis",I193=""),"Transmission manquante",IF(AND(H193&lt;&gt;"Traité",Parametres!$B$7-B193&gt;1),"À relancer","OK")))))))</f>
        <v/>
      </c>
    </row>
    <row r="194" spans="1:11" ht="22" customHeight="1">
      <c r="A194" s="8"/>
      <c r="B194" s="8"/>
      <c r="C194" s="8"/>
      <c r="D194" s="8"/>
      <c r="E194" s="8"/>
      <c r="F194" s="9">
        <f>IF(E194="","",IFERROR(VLOOKUP(E194,Services!$A$2:$D$4,2,FALSE),"Service à corriger"))</f>
        <v/>
      </c>
      <c r="G194" s="8"/>
      <c r="H194" s="8"/>
      <c r="I194" s="8"/>
      <c r="J194" s="8"/>
      <c r="K194" s="9">
        <f>IF(A194="","",IF(COUNTIF($A$2:$A$301,A194)&gt;1,"DOUBLON",IF(OR(B194="",C194="",D194="",COUNTIF(ListeServices,E194)&lt;&gt;1,G194="",COUNTIF(ListeMessages,H194)&lt;&gt;1),"Saisie incomplète",IF(OR(AND(I194&lt;&gt;"",I194&lt;B194),AND(J194&lt;&gt;"",OR(I194="",J194&lt;I194)),B194&gt;Parametres!$B$7),"Dates à corriger",IF(AND(H194="Traité",OR(I194="",J194="")),"Dates manquantes",IF(AND(H194="Transmis",I194=""),"Transmission manquante",IF(AND(H194&lt;&gt;"Traité",Parametres!$B$7-B194&gt;1),"À relancer","OK")))))))</f>
        <v/>
      </c>
    </row>
    <row r="195" spans="1:11" ht="22" customHeight="1">
      <c r="A195" s="8"/>
      <c r="B195" s="8"/>
      <c r="C195" s="8"/>
      <c r="D195" s="8"/>
      <c r="E195" s="8"/>
      <c r="F195" s="9">
        <f>IF(E195="","",IFERROR(VLOOKUP(E195,Services!$A$2:$D$4,2,FALSE),"Service à corriger"))</f>
        <v/>
      </c>
      <c r="G195" s="8"/>
      <c r="H195" s="8"/>
      <c r="I195" s="8"/>
      <c r="J195" s="8"/>
      <c r="K195" s="9">
        <f>IF(A195="","",IF(COUNTIF($A$2:$A$301,A195)&gt;1,"DOUBLON",IF(OR(B195="",C195="",D195="",COUNTIF(ListeServices,E195)&lt;&gt;1,G195="",COUNTIF(ListeMessages,H195)&lt;&gt;1),"Saisie incomplète",IF(OR(AND(I195&lt;&gt;"",I195&lt;B195),AND(J195&lt;&gt;"",OR(I195="",J195&lt;I195)),B195&gt;Parametres!$B$7),"Dates à corriger",IF(AND(H195="Traité",OR(I195="",J195="")),"Dates manquantes",IF(AND(H195="Transmis",I195=""),"Transmission manquante",IF(AND(H195&lt;&gt;"Traité",Parametres!$B$7-B195&gt;1),"À relancer","OK")))))))</f>
        <v/>
      </c>
    </row>
    <row r="196" spans="1:11" ht="22" customHeight="1">
      <c r="A196" s="8"/>
      <c r="B196" s="8"/>
      <c r="C196" s="8"/>
      <c r="D196" s="8"/>
      <c r="E196" s="8"/>
      <c r="F196" s="9">
        <f>IF(E196="","",IFERROR(VLOOKUP(E196,Services!$A$2:$D$4,2,FALSE),"Service à corriger"))</f>
        <v/>
      </c>
      <c r="G196" s="8"/>
      <c r="H196" s="8"/>
      <c r="I196" s="8"/>
      <c r="J196" s="8"/>
      <c r="K196" s="9">
        <f>IF(A196="","",IF(COUNTIF($A$2:$A$301,A196)&gt;1,"DOUBLON",IF(OR(B196="",C196="",D196="",COUNTIF(ListeServices,E196)&lt;&gt;1,G196="",COUNTIF(ListeMessages,H196)&lt;&gt;1),"Saisie incomplète",IF(OR(AND(I196&lt;&gt;"",I196&lt;B196),AND(J196&lt;&gt;"",OR(I196="",J196&lt;I196)),B196&gt;Parametres!$B$7),"Dates à corriger",IF(AND(H196="Traité",OR(I196="",J196="")),"Dates manquantes",IF(AND(H196="Transmis",I196=""),"Transmission manquante",IF(AND(H196&lt;&gt;"Traité",Parametres!$B$7-B196&gt;1),"À relancer","OK")))))))</f>
        <v/>
      </c>
    </row>
    <row r="197" spans="1:11" ht="22" customHeight="1">
      <c r="A197" s="8"/>
      <c r="B197" s="8"/>
      <c r="C197" s="8"/>
      <c r="D197" s="8"/>
      <c r="E197" s="8"/>
      <c r="F197" s="9">
        <f>IF(E197="","",IFERROR(VLOOKUP(E197,Services!$A$2:$D$4,2,FALSE),"Service à corriger"))</f>
        <v/>
      </c>
      <c r="G197" s="8"/>
      <c r="H197" s="8"/>
      <c r="I197" s="8"/>
      <c r="J197" s="8"/>
      <c r="K197" s="9">
        <f>IF(A197="","",IF(COUNTIF($A$2:$A$301,A197)&gt;1,"DOUBLON",IF(OR(B197="",C197="",D197="",COUNTIF(ListeServices,E197)&lt;&gt;1,G197="",COUNTIF(ListeMessages,H197)&lt;&gt;1),"Saisie incomplète",IF(OR(AND(I197&lt;&gt;"",I197&lt;B197),AND(J197&lt;&gt;"",OR(I197="",J197&lt;I197)),B197&gt;Parametres!$B$7),"Dates à corriger",IF(AND(H197="Traité",OR(I197="",J197="")),"Dates manquantes",IF(AND(H197="Transmis",I197=""),"Transmission manquante",IF(AND(H197&lt;&gt;"Traité",Parametres!$B$7-B197&gt;1),"À relancer","OK")))))))</f>
        <v/>
      </c>
    </row>
    <row r="198" spans="1:11" ht="22" customHeight="1">
      <c r="A198" s="8"/>
      <c r="B198" s="8"/>
      <c r="C198" s="8"/>
      <c r="D198" s="8"/>
      <c r="E198" s="8"/>
      <c r="F198" s="9">
        <f>IF(E198="","",IFERROR(VLOOKUP(E198,Services!$A$2:$D$4,2,FALSE),"Service à corriger"))</f>
        <v/>
      </c>
      <c r="G198" s="8"/>
      <c r="H198" s="8"/>
      <c r="I198" s="8"/>
      <c r="J198" s="8"/>
      <c r="K198" s="9">
        <f>IF(A198="","",IF(COUNTIF($A$2:$A$301,A198)&gt;1,"DOUBLON",IF(OR(B198="",C198="",D198="",COUNTIF(ListeServices,E198)&lt;&gt;1,G198="",COUNTIF(ListeMessages,H198)&lt;&gt;1),"Saisie incomplète",IF(OR(AND(I198&lt;&gt;"",I198&lt;B198),AND(J198&lt;&gt;"",OR(I198="",J198&lt;I198)),B198&gt;Parametres!$B$7),"Dates à corriger",IF(AND(H198="Traité",OR(I198="",J198="")),"Dates manquantes",IF(AND(H198="Transmis",I198=""),"Transmission manquante",IF(AND(H198&lt;&gt;"Traité",Parametres!$B$7-B198&gt;1),"À relancer","OK")))))))</f>
        <v/>
      </c>
    </row>
    <row r="199" spans="1:11" ht="22" customHeight="1">
      <c r="A199" s="8"/>
      <c r="B199" s="8"/>
      <c r="C199" s="8"/>
      <c r="D199" s="8"/>
      <c r="E199" s="8"/>
      <c r="F199" s="9">
        <f>IF(E199="","",IFERROR(VLOOKUP(E199,Services!$A$2:$D$4,2,FALSE),"Service à corriger"))</f>
        <v/>
      </c>
      <c r="G199" s="8"/>
      <c r="H199" s="8"/>
      <c r="I199" s="8"/>
      <c r="J199" s="8"/>
      <c r="K199" s="9">
        <f>IF(A199="","",IF(COUNTIF($A$2:$A$301,A199)&gt;1,"DOUBLON",IF(OR(B199="",C199="",D199="",COUNTIF(ListeServices,E199)&lt;&gt;1,G199="",COUNTIF(ListeMessages,H199)&lt;&gt;1),"Saisie incomplète",IF(OR(AND(I199&lt;&gt;"",I199&lt;B199),AND(J199&lt;&gt;"",OR(I199="",J199&lt;I199)),B199&gt;Parametres!$B$7),"Dates à corriger",IF(AND(H199="Traité",OR(I199="",J199="")),"Dates manquantes",IF(AND(H199="Transmis",I199=""),"Transmission manquante",IF(AND(H199&lt;&gt;"Traité",Parametres!$B$7-B199&gt;1),"À relancer","OK")))))))</f>
        <v/>
      </c>
    </row>
    <row r="200" spans="1:11" ht="22" customHeight="1">
      <c r="A200" s="8"/>
      <c r="B200" s="8"/>
      <c r="C200" s="8"/>
      <c r="D200" s="8"/>
      <c r="E200" s="8"/>
      <c r="F200" s="9">
        <f>IF(E200="","",IFERROR(VLOOKUP(E200,Services!$A$2:$D$4,2,FALSE),"Service à corriger"))</f>
        <v/>
      </c>
      <c r="G200" s="8"/>
      <c r="H200" s="8"/>
      <c r="I200" s="8"/>
      <c r="J200" s="8"/>
      <c r="K200" s="9">
        <f>IF(A200="","",IF(COUNTIF($A$2:$A$301,A200)&gt;1,"DOUBLON",IF(OR(B200="",C200="",D200="",COUNTIF(ListeServices,E200)&lt;&gt;1,G200="",COUNTIF(ListeMessages,H200)&lt;&gt;1),"Saisie incomplète",IF(OR(AND(I200&lt;&gt;"",I200&lt;B200),AND(J200&lt;&gt;"",OR(I200="",J200&lt;I200)),B200&gt;Parametres!$B$7),"Dates à corriger",IF(AND(H200="Traité",OR(I200="",J200="")),"Dates manquantes",IF(AND(H200="Transmis",I200=""),"Transmission manquante",IF(AND(H200&lt;&gt;"Traité",Parametres!$B$7-B200&gt;1),"À relancer","OK")))))))</f>
        <v/>
      </c>
    </row>
    <row r="201" spans="1:11" ht="22" customHeight="1">
      <c r="A201" s="8"/>
      <c r="B201" s="8"/>
      <c r="C201" s="8"/>
      <c r="D201" s="8"/>
      <c r="E201" s="8"/>
      <c r="F201" s="9">
        <f>IF(E201="","",IFERROR(VLOOKUP(E201,Services!$A$2:$D$4,2,FALSE),"Service à corriger"))</f>
        <v/>
      </c>
      <c r="G201" s="8"/>
      <c r="H201" s="8"/>
      <c r="I201" s="8"/>
      <c r="J201" s="8"/>
      <c r="K201" s="9">
        <f>IF(A201="","",IF(COUNTIF($A$2:$A$301,A201)&gt;1,"DOUBLON",IF(OR(B201="",C201="",D201="",COUNTIF(ListeServices,E201)&lt;&gt;1,G201="",COUNTIF(ListeMessages,H201)&lt;&gt;1),"Saisie incomplète",IF(OR(AND(I201&lt;&gt;"",I201&lt;B201),AND(J201&lt;&gt;"",OR(I201="",J201&lt;I201)),B201&gt;Parametres!$B$7),"Dates à corriger",IF(AND(H201="Traité",OR(I201="",J201="")),"Dates manquantes",IF(AND(H201="Transmis",I201=""),"Transmission manquante",IF(AND(H201&lt;&gt;"Traité",Parametres!$B$7-B201&gt;1),"À relancer","OK")))))))</f>
        <v/>
      </c>
    </row>
    <row r="202" spans="1:11" ht="22" customHeight="1">
      <c r="A202" s="8"/>
      <c r="B202" s="8"/>
      <c r="C202" s="8"/>
      <c r="D202" s="8"/>
      <c r="E202" s="8"/>
      <c r="F202" s="9">
        <f>IF(E202="","",IFERROR(VLOOKUP(E202,Services!$A$2:$D$4,2,FALSE),"Service à corriger"))</f>
        <v/>
      </c>
      <c r="G202" s="8"/>
      <c r="H202" s="8"/>
      <c r="I202" s="8"/>
      <c r="J202" s="8"/>
      <c r="K202" s="9">
        <f>IF(A202="","",IF(COUNTIF($A$2:$A$301,A202)&gt;1,"DOUBLON",IF(OR(B202="",C202="",D202="",COUNTIF(ListeServices,E202)&lt;&gt;1,G202="",COUNTIF(ListeMessages,H202)&lt;&gt;1),"Saisie incomplète",IF(OR(AND(I202&lt;&gt;"",I202&lt;B202),AND(J202&lt;&gt;"",OR(I202="",J202&lt;I202)),B202&gt;Parametres!$B$7),"Dates à corriger",IF(AND(H202="Traité",OR(I202="",J202="")),"Dates manquantes",IF(AND(H202="Transmis",I202=""),"Transmission manquante",IF(AND(H202&lt;&gt;"Traité",Parametres!$B$7-B202&gt;1),"À relancer","OK")))))))</f>
        <v/>
      </c>
    </row>
    <row r="203" spans="1:11" ht="22" customHeight="1">
      <c r="A203" s="8"/>
      <c r="B203" s="8"/>
      <c r="C203" s="8"/>
      <c r="D203" s="8"/>
      <c r="E203" s="8"/>
      <c r="F203" s="9">
        <f>IF(E203="","",IFERROR(VLOOKUP(E203,Services!$A$2:$D$4,2,FALSE),"Service à corriger"))</f>
        <v/>
      </c>
      <c r="G203" s="8"/>
      <c r="H203" s="8"/>
      <c r="I203" s="8"/>
      <c r="J203" s="8"/>
      <c r="K203" s="9">
        <f>IF(A203="","",IF(COUNTIF($A$2:$A$301,A203)&gt;1,"DOUBLON",IF(OR(B203="",C203="",D203="",COUNTIF(ListeServices,E203)&lt;&gt;1,G203="",COUNTIF(ListeMessages,H203)&lt;&gt;1),"Saisie incomplète",IF(OR(AND(I203&lt;&gt;"",I203&lt;B203),AND(J203&lt;&gt;"",OR(I203="",J203&lt;I203)),B203&gt;Parametres!$B$7),"Dates à corriger",IF(AND(H203="Traité",OR(I203="",J203="")),"Dates manquantes",IF(AND(H203="Transmis",I203=""),"Transmission manquante",IF(AND(H203&lt;&gt;"Traité",Parametres!$B$7-B203&gt;1),"À relancer","OK")))))))</f>
        <v/>
      </c>
    </row>
    <row r="204" spans="1:11" ht="22" customHeight="1">
      <c r="A204" s="8"/>
      <c r="B204" s="8"/>
      <c r="C204" s="8"/>
      <c r="D204" s="8"/>
      <c r="E204" s="8"/>
      <c r="F204" s="9">
        <f>IF(E204="","",IFERROR(VLOOKUP(E204,Services!$A$2:$D$4,2,FALSE),"Service à corriger"))</f>
        <v/>
      </c>
      <c r="G204" s="8"/>
      <c r="H204" s="8"/>
      <c r="I204" s="8"/>
      <c r="J204" s="8"/>
      <c r="K204" s="9">
        <f>IF(A204="","",IF(COUNTIF($A$2:$A$301,A204)&gt;1,"DOUBLON",IF(OR(B204="",C204="",D204="",COUNTIF(ListeServices,E204)&lt;&gt;1,G204="",COUNTIF(ListeMessages,H204)&lt;&gt;1),"Saisie incomplète",IF(OR(AND(I204&lt;&gt;"",I204&lt;B204),AND(J204&lt;&gt;"",OR(I204="",J204&lt;I204)),B204&gt;Parametres!$B$7),"Dates à corriger",IF(AND(H204="Traité",OR(I204="",J204="")),"Dates manquantes",IF(AND(H204="Transmis",I204=""),"Transmission manquante",IF(AND(H204&lt;&gt;"Traité",Parametres!$B$7-B204&gt;1),"À relancer","OK")))))))</f>
        <v/>
      </c>
    </row>
    <row r="205" spans="1:11" ht="22" customHeight="1">
      <c r="A205" s="8"/>
      <c r="B205" s="8"/>
      <c r="C205" s="8"/>
      <c r="D205" s="8"/>
      <c r="E205" s="8"/>
      <c r="F205" s="9">
        <f>IF(E205="","",IFERROR(VLOOKUP(E205,Services!$A$2:$D$4,2,FALSE),"Service à corriger"))</f>
        <v/>
      </c>
      <c r="G205" s="8"/>
      <c r="H205" s="8"/>
      <c r="I205" s="8"/>
      <c r="J205" s="8"/>
      <c r="K205" s="9">
        <f>IF(A205="","",IF(COUNTIF($A$2:$A$301,A205)&gt;1,"DOUBLON",IF(OR(B205="",C205="",D205="",COUNTIF(ListeServices,E205)&lt;&gt;1,G205="",COUNTIF(ListeMessages,H205)&lt;&gt;1),"Saisie incomplète",IF(OR(AND(I205&lt;&gt;"",I205&lt;B205),AND(J205&lt;&gt;"",OR(I205="",J205&lt;I205)),B205&gt;Parametres!$B$7),"Dates à corriger",IF(AND(H205="Traité",OR(I205="",J205="")),"Dates manquantes",IF(AND(H205="Transmis",I205=""),"Transmission manquante",IF(AND(H205&lt;&gt;"Traité",Parametres!$B$7-B205&gt;1),"À relancer","OK")))))))</f>
        <v/>
      </c>
    </row>
    <row r="206" spans="1:11" ht="22" customHeight="1">
      <c r="A206" s="8"/>
      <c r="B206" s="8"/>
      <c r="C206" s="8"/>
      <c r="D206" s="8"/>
      <c r="E206" s="8"/>
      <c r="F206" s="9">
        <f>IF(E206="","",IFERROR(VLOOKUP(E206,Services!$A$2:$D$4,2,FALSE),"Service à corriger"))</f>
        <v/>
      </c>
      <c r="G206" s="8"/>
      <c r="H206" s="8"/>
      <c r="I206" s="8"/>
      <c r="J206" s="8"/>
      <c r="K206" s="9">
        <f>IF(A206="","",IF(COUNTIF($A$2:$A$301,A206)&gt;1,"DOUBLON",IF(OR(B206="",C206="",D206="",COUNTIF(ListeServices,E206)&lt;&gt;1,G206="",COUNTIF(ListeMessages,H206)&lt;&gt;1),"Saisie incomplète",IF(OR(AND(I206&lt;&gt;"",I206&lt;B206),AND(J206&lt;&gt;"",OR(I206="",J206&lt;I206)),B206&gt;Parametres!$B$7),"Dates à corriger",IF(AND(H206="Traité",OR(I206="",J206="")),"Dates manquantes",IF(AND(H206="Transmis",I206=""),"Transmission manquante",IF(AND(H206&lt;&gt;"Traité",Parametres!$B$7-B206&gt;1),"À relancer","OK")))))))</f>
        <v/>
      </c>
    </row>
    <row r="207" spans="1:11" ht="22" customHeight="1">
      <c r="A207" s="8"/>
      <c r="B207" s="8"/>
      <c r="C207" s="8"/>
      <c r="D207" s="8"/>
      <c r="E207" s="8"/>
      <c r="F207" s="9">
        <f>IF(E207="","",IFERROR(VLOOKUP(E207,Services!$A$2:$D$4,2,FALSE),"Service à corriger"))</f>
        <v/>
      </c>
      <c r="G207" s="8"/>
      <c r="H207" s="8"/>
      <c r="I207" s="8"/>
      <c r="J207" s="8"/>
      <c r="K207" s="9">
        <f>IF(A207="","",IF(COUNTIF($A$2:$A$301,A207)&gt;1,"DOUBLON",IF(OR(B207="",C207="",D207="",COUNTIF(ListeServices,E207)&lt;&gt;1,G207="",COUNTIF(ListeMessages,H207)&lt;&gt;1),"Saisie incomplète",IF(OR(AND(I207&lt;&gt;"",I207&lt;B207),AND(J207&lt;&gt;"",OR(I207="",J207&lt;I207)),B207&gt;Parametres!$B$7),"Dates à corriger",IF(AND(H207="Traité",OR(I207="",J207="")),"Dates manquantes",IF(AND(H207="Transmis",I207=""),"Transmission manquante",IF(AND(H207&lt;&gt;"Traité",Parametres!$B$7-B207&gt;1),"À relancer","OK")))))))</f>
        <v/>
      </c>
    </row>
    <row r="208" spans="1:11" ht="22" customHeight="1">
      <c r="A208" s="8"/>
      <c r="B208" s="8"/>
      <c r="C208" s="8"/>
      <c r="D208" s="8"/>
      <c r="E208" s="8"/>
      <c r="F208" s="9">
        <f>IF(E208="","",IFERROR(VLOOKUP(E208,Services!$A$2:$D$4,2,FALSE),"Service à corriger"))</f>
        <v/>
      </c>
      <c r="G208" s="8"/>
      <c r="H208" s="8"/>
      <c r="I208" s="8"/>
      <c r="J208" s="8"/>
      <c r="K208" s="9">
        <f>IF(A208="","",IF(COUNTIF($A$2:$A$301,A208)&gt;1,"DOUBLON",IF(OR(B208="",C208="",D208="",COUNTIF(ListeServices,E208)&lt;&gt;1,G208="",COUNTIF(ListeMessages,H208)&lt;&gt;1),"Saisie incomplète",IF(OR(AND(I208&lt;&gt;"",I208&lt;B208),AND(J208&lt;&gt;"",OR(I208="",J208&lt;I208)),B208&gt;Parametres!$B$7),"Dates à corriger",IF(AND(H208="Traité",OR(I208="",J208="")),"Dates manquantes",IF(AND(H208="Transmis",I208=""),"Transmission manquante",IF(AND(H208&lt;&gt;"Traité",Parametres!$B$7-B208&gt;1),"À relancer","OK")))))))</f>
        <v/>
      </c>
    </row>
    <row r="209" spans="1:11" ht="22" customHeight="1">
      <c r="A209" s="8"/>
      <c r="B209" s="8"/>
      <c r="C209" s="8"/>
      <c r="D209" s="8"/>
      <c r="E209" s="8"/>
      <c r="F209" s="9">
        <f>IF(E209="","",IFERROR(VLOOKUP(E209,Services!$A$2:$D$4,2,FALSE),"Service à corriger"))</f>
        <v/>
      </c>
      <c r="G209" s="8"/>
      <c r="H209" s="8"/>
      <c r="I209" s="8"/>
      <c r="J209" s="8"/>
      <c r="K209" s="9">
        <f>IF(A209="","",IF(COUNTIF($A$2:$A$301,A209)&gt;1,"DOUBLON",IF(OR(B209="",C209="",D209="",COUNTIF(ListeServices,E209)&lt;&gt;1,G209="",COUNTIF(ListeMessages,H209)&lt;&gt;1),"Saisie incomplète",IF(OR(AND(I209&lt;&gt;"",I209&lt;B209),AND(J209&lt;&gt;"",OR(I209="",J209&lt;I209)),B209&gt;Parametres!$B$7),"Dates à corriger",IF(AND(H209="Traité",OR(I209="",J209="")),"Dates manquantes",IF(AND(H209="Transmis",I209=""),"Transmission manquante",IF(AND(H209&lt;&gt;"Traité",Parametres!$B$7-B209&gt;1),"À relancer","OK")))))))</f>
        <v/>
      </c>
    </row>
    <row r="210" spans="1:11" ht="22" customHeight="1">
      <c r="A210" s="8"/>
      <c r="B210" s="8"/>
      <c r="C210" s="8"/>
      <c r="D210" s="8"/>
      <c r="E210" s="8"/>
      <c r="F210" s="9">
        <f>IF(E210="","",IFERROR(VLOOKUP(E210,Services!$A$2:$D$4,2,FALSE),"Service à corriger"))</f>
        <v/>
      </c>
      <c r="G210" s="8"/>
      <c r="H210" s="8"/>
      <c r="I210" s="8"/>
      <c r="J210" s="8"/>
      <c r="K210" s="9">
        <f>IF(A210="","",IF(COUNTIF($A$2:$A$301,A210)&gt;1,"DOUBLON",IF(OR(B210="",C210="",D210="",COUNTIF(ListeServices,E210)&lt;&gt;1,G210="",COUNTIF(ListeMessages,H210)&lt;&gt;1),"Saisie incomplète",IF(OR(AND(I210&lt;&gt;"",I210&lt;B210),AND(J210&lt;&gt;"",OR(I210="",J210&lt;I210)),B210&gt;Parametres!$B$7),"Dates à corriger",IF(AND(H210="Traité",OR(I210="",J210="")),"Dates manquantes",IF(AND(H210="Transmis",I210=""),"Transmission manquante",IF(AND(H210&lt;&gt;"Traité",Parametres!$B$7-B210&gt;1),"À relancer","OK")))))))</f>
        <v/>
      </c>
    </row>
    <row r="211" spans="1:11" ht="22" customHeight="1">
      <c r="A211" s="8"/>
      <c r="B211" s="8"/>
      <c r="C211" s="8"/>
      <c r="D211" s="8"/>
      <c r="E211" s="8"/>
      <c r="F211" s="9">
        <f>IF(E211="","",IFERROR(VLOOKUP(E211,Services!$A$2:$D$4,2,FALSE),"Service à corriger"))</f>
        <v/>
      </c>
      <c r="G211" s="8"/>
      <c r="H211" s="8"/>
      <c r="I211" s="8"/>
      <c r="J211" s="8"/>
      <c r="K211" s="9">
        <f>IF(A211="","",IF(COUNTIF($A$2:$A$301,A211)&gt;1,"DOUBLON",IF(OR(B211="",C211="",D211="",COUNTIF(ListeServices,E211)&lt;&gt;1,G211="",COUNTIF(ListeMessages,H211)&lt;&gt;1),"Saisie incomplète",IF(OR(AND(I211&lt;&gt;"",I211&lt;B211),AND(J211&lt;&gt;"",OR(I211="",J211&lt;I211)),B211&gt;Parametres!$B$7),"Dates à corriger",IF(AND(H211="Traité",OR(I211="",J211="")),"Dates manquantes",IF(AND(H211="Transmis",I211=""),"Transmission manquante",IF(AND(H211&lt;&gt;"Traité",Parametres!$B$7-B211&gt;1),"À relancer","OK")))))))</f>
        <v/>
      </c>
    </row>
    <row r="212" spans="1:11" ht="22" customHeight="1">
      <c r="A212" s="8"/>
      <c r="B212" s="8"/>
      <c r="C212" s="8"/>
      <c r="D212" s="8"/>
      <c r="E212" s="8"/>
      <c r="F212" s="9">
        <f>IF(E212="","",IFERROR(VLOOKUP(E212,Services!$A$2:$D$4,2,FALSE),"Service à corriger"))</f>
        <v/>
      </c>
      <c r="G212" s="8"/>
      <c r="H212" s="8"/>
      <c r="I212" s="8"/>
      <c r="J212" s="8"/>
      <c r="K212" s="9">
        <f>IF(A212="","",IF(COUNTIF($A$2:$A$301,A212)&gt;1,"DOUBLON",IF(OR(B212="",C212="",D212="",COUNTIF(ListeServices,E212)&lt;&gt;1,G212="",COUNTIF(ListeMessages,H212)&lt;&gt;1),"Saisie incomplète",IF(OR(AND(I212&lt;&gt;"",I212&lt;B212),AND(J212&lt;&gt;"",OR(I212="",J212&lt;I212)),B212&gt;Parametres!$B$7),"Dates à corriger",IF(AND(H212="Traité",OR(I212="",J212="")),"Dates manquantes",IF(AND(H212="Transmis",I212=""),"Transmission manquante",IF(AND(H212&lt;&gt;"Traité",Parametres!$B$7-B212&gt;1),"À relancer","OK")))))))</f>
        <v/>
      </c>
    </row>
    <row r="213" spans="1:11" ht="22" customHeight="1">
      <c r="A213" s="8"/>
      <c r="B213" s="8"/>
      <c r="C213" s="8"/>
      <c r="D213" s="8"/>
      <c r="E213" s="8"/>
      <c r="F213" s="9">
        <f>IF(E213="","",IFERROR(VLOOKUP(E213,Services!$A$2:$D$4,2,FALSE),"Service à corriger"))</f>
        <v/>
      </c>
      <c r="G213" s="8"/>
      <c r="H213" s="8"/>
      <c r="I213" s="8"/>
      <c r="J213" s="8"/>
      <c r="K213" s="9">
        <f>IF(A213="","",IF(COUNTIF($A$2:$A$301,A213)&gt;1,"DOUBLON",IF(OR(B213="",C213="",D213="",COUNTIF(ListeServices,E213)&lt;&gt;1,G213="",COUNTIF(ListeMessages,H213)&lt;&gt;1),"Saisie incomplète",IF(OR(AND(I213&lt;&gt;"",I213&lt;B213),AND(J213&lt;&gt;"",OR(I213="",J213&lt;I213)),B213&gt;Parametres!$B$7),"Dates à corriger",IF(AND(H213="Traité",OR(I213="",J213="")),"Dates manquantes",IF(AND(H213="Transmis",I213=""),"Transmission manquante",IF(AND(H213&lt;&gt;"Traité",Parametres!$B$7-B213&gt;1),"À relancer","OK")))))))</f>
        <v/>
      </c>
    </row>
    <row r="214" spans="1:11" ht="22" customHeight="1">
      <c r="A214" s="8"/>
      <c r="B214" s="8"/>
      <c r="C214" s="8"/>
      <c r="D214" s="8"/>
      <c r="E214" s="8"/>
      <c r="F214" s="9">
        <f>IF(E214="","",IFERROR(VLOOKUP(E214,Services!$A$2:$D$4,2,FALSE),"Service à corriger"))</f>
        <v/>
      </c>
      <c r="G214" s="8"/>
      <c r="H214" s="8"/>
      <c r="I214" s="8"/>
      <c r="J214" s="8"/>
      <c r="K214" s="9">
        <f>IF(A214="","",IF(COUNTIF($A$2:$A$301,A214)&gt;1,"DOUBLON",IF(OR(B214="",C214="",D214="",COUNTIF(ListeServices,E214)&lt;&gt;1,G214="",COUNTIF(ListeMessages,H214)&lt;&gt;1),"Saisie incomplète",IF(OR(AND(I214&lt;&gt;"",I214&lt;B214),AND(J214&lt;&gt;"",OR(I214="",J214&lt;I214)),B214&gt;Parametres!$B$7),"Dates à corriger",IF(AND(H214="Traité",OR(I214="",J214="")),"Dates manquantes",IF(AND(H214="Transmis",I214=""),"Transmission manquante",IF(AND(H214&lt;&gt;"Traité",Parametres!$B$7-B214&gt;1),"À relancer","OK")))))))</f>
        <v/>
      </c>
    </row>
    <row r="215" spans="1:11" ht="22" customHeight="1">
      <c r="A215" s="8"/>
      <c r="B215" s="8"/>
      <c r="C215" s="8"/>
      <c r="D215" s="8"/>
      <c r="E215" s="8"/>
      <c r="F215" s="9">
        <f>IF(E215="","",IFERROR(VLOOKUP(E215,Services!$A$2:$D$4,2,FALSE),"Service à corriger"))</f>
        <v/>
      </c>
      <c r="G215" s="8"/>
      <c r="H215" s="8"/>
      <c r="I215" s="8"/>
      <c r="J215" s="8"/>
      <c r="K215" s="9">
        <f>IF(A215="","",IF(COUNTIF($A$2:$A$301,A215)&gt;1,"DOUBLON",IF(OR(B215="",C215="",D215="",COUNTIF(ListeServices,E215)&lt;&gt;1,G215="",COUNTIF(ListeMessages,H215)&lt;&gt;1),"Saisie incomplète",IF(OR(AND(I215&lt;&gt;"",I215&lt;B215),AND(J215&lt;&gt;"",OR(I215="",J215&lt;I215)),B215&gt;Parametres!$B$7),"Dates à corriger",IF(AND(H215="Traité",OR(I215="",J215="")),"Dates manquantes",IF(AND(H215="Transmis",I215=""),"Transmission manquante",IF(AND(H215&lt;&gt;"Traité",Parametres!$B$7-B215&gt;1),"À relancer","OK")))))))</f>
        <v/>
      </c>
    </row>
    <row r="216" spans="1:11" ht="22" customHeight="1">
      <c r="A216" s="8"/>
      <c r="B216" s="8"/>
      <c r="C216" s="8"/>
      <c r="D216" s="8"/>
      <c r="E216" s="8"/>
      <c r="F216" s="9">
        <f>IF(E216="","",IFERROR(VLOOKUP(E216,Services!$A$2:$D$4,2,FALSE),"Service à corriger"))</f>
        <v/>
      </c>
      <c r="G216" s="8"/>
      <c r="H216" s="8"/>
      <c r="I216" s="8"/>
      <c r="J216" s="8"/>
      <c r="K216" s="9">
        <f>IF(A216="","",IF(COUNTIF($A$2:$A$301,A216)&gt;1,"DOUBLON",IF(OR(B216="",C216="",D216="",COUNTIF(ListeServices,E216)&lt;&gt;1,G216="",COUNTIF(ListeMessages,H216)&lt;&gt;1),"Saisie incomplète",IF(OR(AND(I216&lt;&gt;"",I216&lt;B216),AND(J216&lt;&gt;"",OR(I216="",J216&lt;I216)),B216&gt;Parametres!$B$7),"Dates à corriger",IF(AND(H216="Traité",OR(I216="",J216="")),"Dates manquantes",IF(AND(H216="Transmis",I216=""),"Transmission manquante",IF(AND(H216&lt;&gt;"Traité",Parametres!$B$7-B216&gt;1),"À relancer","OK")))))))</f>
        <v/>
      </c>
    </row>
    <row r="217" spans="1:11" ht="22" customHeight="1">
      <c r="A217" s="8"/>
      <c r="B217" s="8"/>
      <c r="C217" s="8"/>
      <c r="D217" s="8"/>
      <c r="E217" s="8"/>
      <c r="F217" s="9">
        <f>IF(E217="","",IFERROR(VLOOKUP(E217,Services!$A$2:$D$4,2,FALSE),"Service à corriger"))</f>
        <v/>
      </c>
      <c r="G217" s="8"/>
      <c r="H217" s="8"/>
      <c r="I217" s="8"/>
      <c r="J217" s="8"/>
      <c r="K217" s="9">
        <f>IF(A217="","",IF(COUNTIF($A$2:$A$301,A217)&gt;1,"DOUBLON",IF(OR(B217="",C217="",D217="",COUNTIF(ListeServices,E217)&lt;&gt;1,G217="",COUNTIF(ListeMessages,H217)&lt;&gt;1),"Saisie incomplète",IF(OR(AND(I217&lt;&gt;"",I217&lt;B217),AND(J217&lt;&gt;"",OR(I217="",J217&lt;I217)),B217&gt;Parametres!$B$7),"Dates à corriger",IF(AND(H217="Traité",OR(I217="",J217="")),"Dates manquantes",IF(AND(H217="Transmis",I217=""),"Transmission manquante",IF(AND(H217&lt;&gt;"Traité",Parametres!$B$7-B217&gt;1),"À relancer","OK")))))))</f>
        <v/>
      </c>
    </row>
    <row r="218" spans="1:11" ht="22" customHeight="1">
      <c r="A218" s="8"/>
      <c r="B218" s="8"/>
      <c r="C218" s="8"/>
      <c r="D218" s="8"/>
      <c r="E218" s="8"/>
      <c r="F218" s="9">
        <f>IF(E218="","",IFERROR(VLOOKUP(E218,Services!$A$2:$D$4,2,FALSE),"Service à corriger"))</f>
        <v/>
      </c>
      <c r="G218" s="8"/>
      <c r="H218" s="8"/>
      <c r="I218" s="8"/>
      <c r="J218" s="8"/>
      <c r="K218" s="9">
        <f>IF(A218="","",IF(COUNTIF($A$2:$A$301,A218)&gt;1,"DOUBLON",IF(OR(B218="",C218="",D218="",COUNTIF(ListeServices,E218)&lt;&gt;1,G218="",COUNTIF(ListeMessages,H218)&lt;&gt;1),"Saisie incomplète",IF(OR(AND(I218&lt;&gt;"",I218&lt;B218),AND(J218&lt;&gt;"",OR(I218="",J218&lt;I218)),B218&gt;Parametres!$B$7),"Dates à corriger",IF(AND(H218="Traité",OR(I218="",J218="")),"Dates manquantes",IF(AND(H218="Transmis",I218=""),"Transmission manquante",IF(AND(H218&lt;&gt;"Traité",Parametres!$B$7-B218&gt;1),"À relancer","OK")))))))</f>
        <v/>
      </c>
    </row>
    <row r="219" spans="1:11" ht="22" customHeight="1">
      <c r="A219" s="8"/>
      <c r="B219" s="8"/>
      <c r="C219" s="8"/>
      <c r="D219" s="8"/>
      <c r="E219" s="8"/>
      <c r="F219" s="9">
        <f>IF(E219="","",IFERROR(VLOOKUP(E219,Services!$A$2:$D$4,2,FALSE),"Service à corriger"))</f>
        <v/>
      </c>
      <c r="G219" s="8"/>
      <c r="H219" s="8"/>
      <c r="I219" s="8"/>
      <c r="J219" s="8"/>
      <c r="K219" s="9">
        <f>IF(A219="","",IF(COUNTIF($A$2:$A$301,A219)&gt;1,"DOUBLON",IF(OR(B219="",C219="",D219="",COUNTIF(ListeServices,E219)&lt;&gt;1,G219="",COUNTIF(ListeMessages,H219)&lt;&gt;1),"Saisie incomplète",IF(OR(AND(I219&lt;&gt;"",I219&lt;B219),AND(J219&lt;&gt;"",OR(I219="",J219&lt;I219)),B219&gt;Parametres!$B$7),"Dates à corriger",IF(AND(H219="Traité",OR(I219="",J219="")),"Dates manquantes",IF(AND(H219="Transmis",I219=""),"Transmission manquante",IF(AND(H219&lt;&gt;"Traité",Parametres!$B$7-B219&gt;1),"À relancer","OK")))))))</f>
        <v/>
      </c>
    </row>
    <row r="220" spans="1:11" ht="22" customHeight="1">
      <c r="A220" s="8"/>
      <c r="B220" s="8"/>
      <c r="C220" s="8"/>
      <c r="D220" s="8"/>
      <c r="E220" s="8"/>
      <c r="F220" s="9">
        <f>IF(E220="","",IFERROR(VLOOKUP(E220,Services!$A$2:$D$4,2,FALSE),"Service à corriger"))</f>
        <v/>
      </c>
      <c r="G220" s="8"/>
      <c r="H220" s="8"/>
      <c r="I220" s="8"/>
      <c r="J220" s="8"/>
      <c r="K220" s="9">
        <f>IF(A220="","",IF(COUNTIF($A$2:$A$301,A220)&gt;1,"DOUBLON",IF(OR(B220="",C220="",D220="",COUNTIF(ListeServices,E220)&lt;&gt;1,G220="",COUNTIF(ListeMessages,H220)&lt;&gt;1),"Saisie incomplète",IF(OR(AND(I220&lt;&gt;"",I220&lt;B220),AND(J220&lt;&gt;"",OR(I220="",J220&lt;I220)),B220&gt;Parametres!$B$7),"Dates à corriger",IF(AND(H220="Traité",OR(I220="",J220="")),"Dates manquantes",IF(AND(H220="Transmis",I220=""),"Transmission manquante",IF(AND(H220&lt;&gt;"Traité",Parametres!$B$7-B220&gt;1),"À relancer","OK")))))))</f>
        <v/>
      </c>
    </row>
    <row r="221" spans="1:11" ht="22" customHeight="1">
      <c r="A221" s="8"/>
      <c r="B221" s="8"/>
      <c r="C221" s="8"/>
      <c r="D221" s="8"/>
      <c r="E221" s="8"/>
      <c r="F221" s="9">
        <f>IF(E221="","",IFERROR(VLOOKUP(E221,Services!$A$2:$D$4,2,FALSE),"Service à corriger"))</f>
        <v/>
      </c>
      <c r="G221" s="8"/>
      <c r="H221" s="8"/>
      <c r="I221" s="8"/>
      <c r="J221" s="8"/>
      <c r="K221" s="9">
        <f>IF(A221="","",IF(COUNTIF($A$2:$A$301,A221)&gt;1,"DOUBLON",IF(OR(B221="",C221="",D221="",COUNTIF(ListeServices,E221)&lt;&gt;1,G221="",COUNTIF(ListeMessages,H221)&lt;&gt;1),"Saisie incomplète",IF(OR(AND(I221&lt;&gt;"",I221&lt;B221),AND(J221&lt;&gt;"",OR(I221="",J221&lt;I221)),B221&gt;Parametres!$B$7),"Dates à corriger",IF(AND(H221="Traité",OR(I221="",J221="")),"Dates manquantes",IF(AND(H221="Transmis",I221=""),"Transmission manquante",IF(AND(H221&lt;&gt;"Traité",Parametres!$B$7-B221&gt;1),"À relancer","OK")))))))</f>
        <v/>
      </c>
    </row>
    <row r="222" spans="1:11" ht="22" customHeight="1">
      <c r="A222" s="8"/>
      <c r="B222" s="8"/>
      <c r="C222" s="8"/>
      <c r="D222" s="8"/>
      <c r="E222" s="8"/>
      <c r="F222" s="9">
        <f>IF(E222="","",IFERROR(VLOOKUP(E222,Services!$A$2:$D$4,2,FALSE),"Service à corriger"))</f>
        <v/>
      </c>
      <c r="G222" s="8"/>
      <c r="H222" s="8"/>
      <c r="I222" s="8"/>
      <c r="J222" s="8"/>
      <c r="K222" s="9">
        <f>IF(A222="","",IF(COUNTIF($A$2:$A$301,A222)&gt;1,"DOUBLON",IF(OR(B222="",C222="",D222="",COUNTIF(ListeServices,E222)&lt;&gt;1,G222="",COUNTIF(ListeMessages,H222)&lt;&gt;1),"Saisie incomplète",IF(OR(AND(I222&lt;&gt;"",I222&lt;B222),AND(J222&lt;&gt;"",OR(I222="",J222&lt;I222)),B222&gt;Parametres!$B$7),"Dates à corriger",IF(AND(H222="Traité",OR(I222="",J222="")),"Dates manquantes",IF(AND(H222="Transmis",I222=""),"Transmission manquante",IF(AND(H222&lt;&gt;"Traité",Parametres!$B$7-B222&gt;1),"À relancer","OK")))))))</f>
        <v/>
      </c>
    </row>
    <row r="223" spans="1:11" ht="22" customHeight="1">
      <c r="A223" s="8"/>
      <c r="B223" s="8"/>
      <c r="C223" s="8"/>
      <c r="D223" s="8"/>
      <c r="E223" s="8"/>
      <c r="F223" s="9">
        <f>IF(E223="","",IFERROR(VLOOKUP(E223,Services!$A$2:$D$4,2,FALSE),"Service à corriger"))</f>
        <v/>
      </c>
      <c r="G223" s="8"/>
      <c r="H223" s="8"/>
      <c r="I223" s="8"/>
      <c r="J223" s="8"/>
      <c r="K223" s="9">
        <f>IF(A223="","",IF(COUNTIF($A$2:$A$301,A223)&gt;1,"DOUBLON",IF(OR(B223="",C223="",D223="",COUNTIF(ListeServices,E223)&lt;&gt;1,G223="",COUNTIF(ListeMessages,H223)&lt;&gt;1),"Saisie incomplète",IF(OR(AND(I223&lt;&gt;"",I223&lt;B223),AND(J223&lt;&gt;"",OR(I223="",J223&lt;I223)),B223&gt;Parametres!$B$7),"Dates à corriger",IF(AND(H223="Traité",OR(I223="",J223="")),"Dates manquantes",IF(AND(H223="Transmis",I223=""),"Transmission manquante",IF(AND(H223&lt;&gt;"Traité",Parametres!$B$7-B223&gt;1),"À relancer","OK")))))))</f>
        <v/>
      </c>
    </row>
    <row r="224" spans="1:11" ht="22" customHeight="1">
      <c r="A224" s="8"/>
      <c r="B224" s="8"/>
      <c r="C224" s="8"/>
      <c r="D224" s="8"/>
      <c r="E224" s="8"/>
      <c r="F224" s="9">
        <f>IF(E224="","",IFERROR(VLOOKUP(E224,Services!$A$2:$D$4,2,FALSE),"Service à corriger"))</f>
        <v/>
      </c>
      <c r="G224" s="8"/>
      <c r="H224" s="8"/>
      <c r="I224" s="8"/>
      <c r="J224" s="8"/>
      <c r="K224" s="9">
        <f>IF(A224="","",IF(COUNTIF($A$2:$A$301,A224)&gt;1,"DOUBLON",IF(OR(B224="",C224="",D224="",COUNTIF(ListeServices,E224)&lt;&gt;1,G224="",COUNTIF(ListeMessages,H224)&lt;&gt;1),"Saisie incomplète",IF(OR(AND(I224&lt;&gt;"",I224&lt;B224),AND(J224&lt;&gt;"",OR(I224="",J224&lt;I224)),B224&gt;Parametres!$B$7),"Dates à corriger",IF(AND(H224="Traité",OR(I224="",J224="")),"Dates manquantes",IF(AND(H224="Transmis",I224=""),"Transmission manquante",IF(AND(H224&lt;&gt;"Traité",Parametres!$B$7-B224&gt;1),"À relancer","OK")))))))</f>
        <v/>
      </c>
    </row>
    <row r="225" spans="1:11" ht="22" customHeight="1">
      <c r="A225" s="8"/>
      <c r="B225" s="8"/>
      <c r="C225" s="8"/>
      <c r="D225" s="8"/>
      <c r="E225" s="8"/>
      <c r="F225" s="9">
        <f>IF(E225="","",IFERROR(VLOOKUP(E225,Services!$A$2:$D$4,2,FALSE),"Service à corriger"))</f>
        <v/>
      </c>
      <c r="G225" s="8"/>
      <c r="H225" s="8"/>
      <c r="I225" s="8"/>
      <c r="J225" s="8"/>
      <c r="K225" s="9">
        <f>IF(A225="","",IF(COUNTIF($A$2:$A$301,A225)&gt;1,"DOUBLON",IF(OR(B225="",C225="",D225="",COUNTIF(ListeServices,E225)&lt;&gt;1,G225="",COUNTIF(ListeMessages,H225)&lt;&gt;1),"Saisie incomplète",IF(OR(AND(I225&lt;&gt;"",I225&lt;B225),AND(J225&lt;&gt;"",OR(I225="",J225&lt;I225)),B225&gt;Parametres!$B$7),"Dates à corriger",IF(AND(H225="Traité",OR(I225="",J225="")),"Dates manquantes",IF(AND(H225="Transmis",I225=""),"Transmission manquante",IF(AND(H225&lt;&gt;"Traité",Parametres!$B$7-B225&gt;1),"À relancer","OK")))))))</f>
        <v/>
      </c>
    </row>
    <row r="226" spans="1:11" ht="22" customHeight="1">
      <c r="A226" s="8"/>
      <c r="B226" s="8"/>
      <c r="C226" s="8"/>
      <c r="D226" s="8"/>
      <c r="E226" s="8"/>
      <c r="F226" s="9">
        <f>IF(E226="","",IFERROR(VLOOKUP(E226,Services!$A$2:$D$4,2,FALSE),"Service à corriger"))</f>
        <v/>
      </c>
      <c r="G226" s="8"/>
      <c r="H226" s="8"/>
      <c r="I226" s="8"/>
      <c r="J226" s="8"/>
      <c r="K226" s="9">
        <f>IF(A226="","",IF(COUNTIF($A$2:$A$301,A226)&gt;1,"DOUBLON",IF(OR(B226="",C226="",D226="",COUNTIF(ListeServices,E226)&lt;&gt;1,G226="",COUNTIF(ListeMessages,H226)&lt;&gt;1),"Saisie incomplète",IF(OR(AND(I226&lt;&gt;"",I226&lt;B226),AND(J226&lt;&gt;"",OR(I226="",J226&lt;I226)),B226&gt;Parametres!$B$7),"Dates à corriger",IF(AND(H226="Traité",OR(I226="",J226="")),"Dates manquantes",IF(AND(H226="Transmis",I226=""),"Transmission manquante",IF(AND(H226&lt;&gt;"Traité",Parametres!$B$7-B226&gt;1),"À relancer","OK")))))))</f>
        <v/>
      </c>
    </row>
    <row r="227" spans="1:11" ht="22" customHeight="1">
      <c r="A227" s="8"/>
      <c r="B227" s="8"/>
      <c r="C227" s="8"/>
      <c r="D227" s="8"/>
      <c r="E227" s="8"/>
      <c r="F227" s="9">
        <f>IF(E227="","",IFERROR(VLOOKUP(E227,Services!$A$2:$D$4,2,FALSE),"Service à corriger"))</f>
        <v/>
      </c>
      <c r="G227" s="8"/>
      <c r="H227" s="8"/>
      <c r="I227" s="8"/>
      <c r="J227" s="8"/>
      <c r="K227" s="9">
        <f>IF(A227="","",IF(COUNTIF($A$2:$A$301,A227)&gt;1,"DOUBLON",IF(OR(B227="",C227="",D227="",COUNTIF(ListeServices,E227)&lt;&gt;1,G227="",COUNTIF(ListeMessages,H227)&lt;&gt;1),"Saisie incomplète",IF(OR(AND(I227&lt;&gt;"",I227&lt;B227),AND(J227&lt;&gt;"",OR(I227="",J227&lt;I227)),B227&gt;Parametres!$B$7),"Dates à corriger",IF(AND(H227="Traité",OR(I227="",J227="")),"Dates manquantes",IF(AND(H227="Transmis",I227=""),"Transmission manquante",IF(AND(H227&lt;&gt;"Traité",Parametres!$B$7-B227&gt;1),"À relancer","OK")))))))</f>
        <v/>
      </c>
    </row>
    <row r="228" spans="1:11" ht="22" customHeight="1">
      <c r="A228" s="8"/>
      <c r="B228" s="8"/>
      <c r="C228" s="8"/>
      <c r="D228" s="8"/>
      <c r="E228" s="8"/>
      <c r="F228" s="9">
        <f>IF(E228="","",IFERROR(VLOOKUP(E228,Services!$A$2:$D$4,2,FALSE),"Service à corriger"))</f>
        <v/>
      </c>
      <c r="G228" s="8"/>
      <c r="H228" s="8"/>
      <c r="I228" s="8"/>
      <c r="J228" s="8"/>
      <c r="K228" s="9">
        <f>IF(A228="","",IF(COUNTIF($A$2:$A$301,A228)&gt;1,"DOUBLON",IF(OR(B228="",C228="",D228="",COUNTIF(ListeServices,E228)&lt;&gt;1,G228="",COUNTIF(ListeMessages,H228)&lt;&gt;1),"Saisie incomplète",IF(OR(AND(I228&lt;&gt;"",I228&lt;B228),AND(J228&lt;&gt;"",OR(I228="",J228&lt;I228)),B228&gt;Parametres!$B$7),"Dates à corriger",IF(AND(H228="Traité",OR(I228="",J228="")),"Dates manquantes",IF(AND(H228="Transmis",I228=""),"Transmission manquante",IF(AND(H228&lt;&gt;"Traité",Parametres!$B$7-B228&gt;1),"À relancer","OK")))))))</f>
        <v/>
      </c>
    </row>
    <row r="229" spans="1:11" ht="22" customHeight="1">
      <c r="A229" s="8"/>
      <c r="B229" s="8"/>
      <c r="C229" s="8"/>
      <c r="D229" s="8"/>
      <c r="E229" s="8"/>
      <c r="F229" s="9">
        <f>IF(E229="","",IFERROR(VLOOKUP(E229,Services!$A$2:$D$4,2,FALSE),"Service à corriger"))</f>
        <v/>
      </c>
      <c r="G229" s="8"/>
      <c r="H229" s="8"/>
      <c r="I229" s="8"/>
      <c r="J229" s="8"/>
      <c r="K229" s="9">
        <f>IF(A229="","",IF(COUNTIF($A$2:$A$301,A229)&gt;1,"DOUBLON",IF(OR(B229="",C229="",D229="",COUNTIF(ListeServices,E229)&lt;&gt;1,G229="",COUNTIF(ListeMessages,H229)&lt;&gt;1),"Saisie incomplète",IF(OR(AND(I229&lt;&gt;"",I229&lt;B229),AND(J229&lt;&gt;"",OR(I229="",J229&lt;I229)),B229&gt;Parametres!$B$7),"Dates à corriger",IF(AND(H229="Traité",OR(I229="",J229="")),"Dates manquantes",IF(AND(H229="Transmis",I229=""),"Transmission manquante",IF(AND(H229&lt;&gt;"Traité",Parametres!$B$7-B229&gt;1),"À relancer","OK")))))))</f>
        <v/>
      </c>
    </row>
    <row r="230" spans="1:11" ht="22" customHeight="1">
      <c r="A230" s="8"/>
      <c r="B230" s="8"/>
      <c r="C230" s="8"/>
      <c r="D230" s="8"/>
      <c r="E230" s="8"/>
      <c r="F230" s="9">
        <f>IF(E230="","",IFERROR(VLOOKUP(E230,Services!$A$2:$D$4,2,FALSE),"Service à corriger"))</f>
        <v/>
      </c>
      <c r="G230" s="8"/>
      <c r="H230" s="8"/>
      <c r="I230" s="8"/>
      <c r="J230" s="8"/>
      <c r="K230" s="9">
        <f>IF(A230="","",IF(COUNTIF($A$2:$A$301,A230)&gt;1,"DOUBLON",IF(OR(B230="",C230="",D230="",COUNTIF(ListeServices,E230)&lt;&gt;1,G230="",COUNTIF(ListeMessages,H230)&lt;&gt;1),"Saisie incomplète",IF(OR(AND(I230&lt;&gt;"",I230&lt;B230),AND(J230&lt;&gt;"",OR(I230="",J230&lt;I230)),B230&gt;Parametres!$B$7),"Dates à corriger",IF(AND(H230="Traité",OR(I230="",J230="")),"Dates manquantes",IF(AND(H230="Transmis",I230=""),"Transmission manquante",IF(AND(H230&lt;&gt;"Traité",Parametres!$B$7-B230&gt;1),"À relancer","OK")))))))</f>
        <v/>
      </c>
    </row>
    <row r="231" spans="1:11" ht="22" customHeight="1">
      <c r="A231" s="8"/>
      <c r="B231" s="8"/>
      <c r="C231" s="8"/>
      <c r="D231" s="8"/>
      <c r="E231" s="8"/>
      <c r="F231" s="9">
        <f>IF(E231="","",IFERROR(VLOOKUP(E231,Services!$A$2:$D$4,2,FALSE),"Service à corriger"))</f>
        <v/>
      </c>
      <c r="G231" s="8"/>
      <c r="H231" s="8"/>
      <c r="I231" s="8"/>
      <c r="J231" s="8"/>
      <c r="K231" s="9">
        <f>IF(A231="","",IF(COUNTIF($A$2:$A$301,A231)&gt;1,"DOUBLON",IF(OR(B231="",C231="",D231="",COUNTIF(ListeServices,E231)&lt;&gt;1,G231="",COUNTIF(ListeMessages,H231)&lt;&gt;1),"Saisie incomplète",IF(OR(AND(I231&lt;&gt;"",I231&lt;B231),AND(J231&lt;&gt;"",OR(I231="",J231&lt;I231)),B231&gt;Parametres!$B$7),"Dates à corriger",IF(AND(H231="Traité",OR(I231="",J231="")),"Dates manquantes",IF(AND(H231="Transmis",I231=""),"Transmission manquante",IF(AND(H231&lt;&gt;"Traité",Parametres!$B$7-B231&gt;1),"À relancer","OK")))))))</f>
        <v/>
      </c>
    </row>
    <row r="232" spans="1:11" ht="22" customHeight="1">
      <c r="A232" s="8"/>
      <c r="B232" s="8"/>
      <c r="C232" s="8"/>
      <c r="D232" s="8"/>
      <c r="E232" s="8"/>
      <c r="F232" s="9">
        <f>IF(E232="","",IFERROR(VLOOKUP(E232,Services!$A$2:$D$4,2,FALSE),"Service à corriger"))</f>
        <v/>
      </c>
      <c r="G232" s="8"/>
      <c r="H232" s="8"/>
      <c r="I232" s="8"/>
      <c r="J232" s="8"/>
      <c r="K232" s="9">
        <f>IF(A232="","",IF(COUNTIF($A$2:$A$301,A232)&gt;1,"DOUBLON",IF(OR(B232="",C232="",D232="",COUNTIF(ListeServices,E232)&lt;&gt;1,G232="",COUNTIF(ListeMessages,H232)&lt;&gt;1),"Saisie incomplète",IF(OR(AND(I232&lt;&gt;"",I232&lt;B232),AND(J232&lt;&gt;"",OR(I232="",J232&lt;I232)),B232&gt;Parametres!$B$7),"Dates à corriger",IF(AND(H232="Traité",OR(I232="",J232="")),"Dates manquantes",IF(AND(H232="Transmis",I232=""),"Transmission manquante",IF(AND(H232&lt;&gt;"Traité",Parametres!$B$7-B232&gt;1),"À relancer","OK")))))))</f>
        <v/>
      </c>
    </row>
    <row r="233" spans="1:11" ht="22" customHeight="1">
      <c r="A233" s="8"/>
      <c r="B233" s="8"/>
      <c r="C233" s="8"/>
      <c r="D233" s="8"/>
      <c r="E233" s="8"/>
      <c r="F233" s="9">
        <f>IF(E233="","",IFERROR(VLOOKUP(E233,Services!$A$2:$D$4,2,FALSE),"Service à corriger"))</f>
        <v/>
      </c>
      <c r="G233" s="8"/>
      <c r="H233" s="8"/>
      <c r="I233" s="8"/>
      <c r="J233" s="8"/>
      <c r="K233" s="9">
        <f>IF(A233="","",IF(COUNTIF($A$2:$A$301,A233)&gt;1,"DOUBLON",IF(OR(B233="",C233="",D233="",COUNTIF(ListeServices,E233)&lt;&gt;1,G233="",COUNTIF(ListeMessages,H233)&lt;&gt;1),"Saisie incomplète",IF(OR(AND(I233&lt;&gt;"",I233&lt;B233),AND(J233&lt;&gt;"",OR(I233="",J233&lt;I233)),B233&gt;Parametres!$B$7),"Dates à corriger",IF(AND(H233="Traité",OR(I233="",J233="")),"Dates manquantes",IF(AND(H233="Transmis",I233=""),"Transmission manquante",IF(AND(H233&lt;&gt;"Traité",Parametres!$B$7-B233&gt;1),"À relancer","OK")))))))</f>
        <v/>
      </c>
    </row>
    <row r="234" spans="1:11" ht="22" customHeight="1">
      <c r="A234" s="8"/>
      <c r="B234" s="8"/>
      <c r="C234" s="8"/>
      <c r="D234" s="8"/>
      <c r="E234" s="8"/>
      <c r="F234" s="9">
        <f>IF(E234="","",IFERROR(VLOOKUP(E234,Services!$A$2:$D$4,2,FALSE),"Service à corriger"))</f>
        <v/>
      </c>
      <c r="G234" s="8"/>
      <c r="H234" s="8"/>
      <c r="I234" s="8"/>
      <c r="J234" s="8"/>
      <c r="K234" s="9">
        <f>IF(A234="","",IF(COUNTIF($A$2:$A$301,A234)&gt;1,"DOUBLON",IF(OR(B234="",C234="",D234="",COUNTIF(ListeServices,E234)&lt;&gt;1,G234="",COUNTIF(ListeMessages,H234)&lt;&gt;1),"Saisie incomplète",IF(OR(AND(I234&lt;&gt;"",I234&lt;B234),AND(J234&lt;&gt;"",OR(I234="",J234&lt;I234)),B234&gt;Parametres!$B$7),"Dates à corriger",IF(AND(H234="Traité",OR(I234="",J234="")),"Dates manquantes",IF(AND(H234="Transmis",I234=""),"Transmission manquante",IF(AND(H234&lt;&gt;"Traité",Parametres!$B$7-B234&gt;1),"À relancer","OK")))))))</f>
        <v/>
      </c>
    </row>
    <row r="235" spans="1:11" ht="22" customHeight="1">
      <c r="A235" s="8"/>
      <c r="B235" s="8"/>
      <c r="C235" s="8"/>
      <c r="D235" s="8"/>
      <c r="E235" s="8"/>
      <c r="F235" s="9">
        <f>IF(E235="","",IFERROR(VLOOKUP(E235,Services!$A$2:$D$4,2,FALSE),"Service à corriger"))</f>
        <v/>
      </c>
      <c r="G235" s="8"/>
      <c r="H235" s="8"/>
      <c r="I235" s="8"/>
      <c r="J235" s="8"/>
      <c r="K235" s="9">
        <f>IF(A235="","",IF(COUNTIF($A$2:$A$301,A235)&gt;1,"DOUBLON",IF(OR(B235="",C235="",D235="",COUNTIF(ListeServices,E235)&lt;&gt;1,G235="",COUNTIF(ListeMessages,H235)&lt;&gt;1),"Saisie incomplète",IF(OR(AND(I235&lt;&gt;"",I235&lt;B235),AND(J235&lt;&gt;"",OR(I235="",J235&lt;I235)),B235&gt;Parametres!$B$7),"Dates à corriger",IF(AND(H235="Traité",OR(I235="",J235="")),"Dates manquantes",IF(AND(H235="Transmis",I235=""),"Transmission manquante",IF(AND(H235&lt;&gt;"Traité",Parametres!$B$7-B235&gt;1),"À relancer","OK")))))))</f>
        <v/>
      </c>
    </row>
    <row r="236" spans="1:11" ht="22" customHeight="1">
      <c r="A236" s="8"/>
      <c r="B236" s="8"/>
      <c r="C236" s="8"/>
      <c r="D236" s="8"/>
      <c r="E236" s="8"/>
      <c r="F236" s="9">
        <f>IF(E236="","",IFERROR(VLOOKUP(E236,Services!$A$2:$D$4,2,FALSE),"Service à corriger"))</f>
        <v/>
      </c>
      <c r="G236" s="8"/>
      <c r="H236" s="8"/>
      <c r="I236" s="8"/>
      <c r="J236" s="8"/>
      <c r="K236" s="9">
        <f>IF(A236="","",IF(COUNTIF($A$2:$A$301,A236)&gt;1,"DOUBLON",IF(OR(B236="",C236="",D236="",COUNTIF(ListeServices,E236)&lt;&gt;1,G236="",COUNTIF(ListeMessages,H236)&lt;&gt;1),"Saisie incomplète",IF(OR(AND(I236&lt;&gt;"",I236&lt;B236),AND(J236&lt;&gt;"",OR(I236="",J236&lt;I236)),B236&gt;Parametres!$B$7),"Dates à corriger",IF(AND(H236="Traité",OR(I236="",J236="")),"Dates manquantes",IF(AND(H236="Transmis",I236=""),"Transmission manquante",IF(AND(H236&lt;&gt;"Traité",Parametres!$B$7-B236&gt;1),"À relancer","OK")))))))</f>
        <v/>
      </c>
    </row>
    <row r="237" spans="1:11" ht="22" customHeight="1">
      <c r="A237" s="8"/>
      <c r="B237" s="8"/>
      <c r="C237" s="8"/>
      <c r="D237" s="8"/>
      <c r="E237" s="8"/>
      <c r="F237" s="9">
        <f>IF(E237="","",IFERROR(VLOOKUP(E237,Services!$A$2:$D$4,2,FALSE),"Service à corriger"))</f>
        <v/>
      </c>
      <c r="G237" s="8"/>
      <c r="H237" s="8"/>
      <c r="I237" s="8"/>
      <c r="J237" s="8"/>
      <c r="K237" s="9">
        <f>IF(A237="","",IF(COUNTIF($A$2:$A$301,A237)&gt;1,"DOUBLON",IF(OR(B237="",C237="",D237="",COUNTIF(ListeServices,E237)&lt;&gt;1,G237="",COUNTIF(ListeMessages,H237)&lt;&gt;1),"Saisie incomplète",IF(OR(AND(I237&lt;&gt;"",I237&lt;B237),AND(J237&lt;&gt;"",OR(I237="",J237&lt;I237)),B237&gt;Parametres!$B$7),"Dates à corriger",IF(AND(H237="Traité",OR(I237="",J237="")),"Dates manquantes",IF(AND(H237="Transmis",I237=""),"Transmission manquante",IF(AND(H237&lt;&gt;"Traité",Parametres!$B$7-B237&gt;1),"À relancer","OK")))))))</f>
        <v/>
      </c>
    </row>
    <row r="238" spans="1:11" ht="22" customHeight="1">
      <c r="A238" s="8"/>
      <c r="B238" s="8"/>
      <c r="C238" s="8"/>
      <c r="D238" s="8"/>
      <c r="E238" s="8"/>
      <c r="F238" s="9">
        <f>IF(E238="","",IFERROR(VLOOKUP(E238,Services!$A$2:$D$4,2,FALSE),"Service à corriger"))</f>
        <v/>
      </c>
      <c r="G238" s="8"/>
      <c r="H238" s="8"/>
      <c r="I238" s="8"/>
      <c r="J238" s="8"/>
      <c r="K238" s="9">
        <f>IF(A238="","",IF(COUNTIF($A$2:$A$301,A238)&gt;1,"DOUBLON",IF(OR(B238="",C238="",D238="",COUNTIF(ListeServices,E238)&lt;&gt;1,G238="",COUNTIF(ListeMessages,H238)&lt;&gt;1),"Saisie incomplète",IF(OR(AND(I238&lt;&gt;"",I238&lt;B238),AND(J238&lt;&gt;"",OR(I238="",J238&lt;I238)),B238&gt;Parametres!$B$7),"Dates à corriger",IF(AND(H238="Traité",OR(I238="",J238="")),"Dates manquantes",IF(AND(H238="Transmis",I238=""),"Transmission manquante",IF(AND(H238&lt;&gt;"Traité",Parametres!$B$7-B238&gt;1),"À relancer","OK")))))))</f>
        <v/>
      </c>
    </row>
    <row r="239" spans="1:11" ht="22" customHeight="1">
      <c r="A239" s="8"/>
      <c r="B239" s="8"/>
      <c r="C239" s="8"/>
      <c r="D239" s="8"/>
      <c r="E239" s="8"/>
      <c r="F239" s="9">
        <f>IF(E239="","",IFERROR(VLOOKUP(E239,Services!$A$2:$D$4,2,FALSE),"Service à corriger"))</f>
        <v/>
      </c>
      <c r="G239" s="8"/>
      <c r="H239" s="8"/>
      <c r="I239" s="8"/>
      <c r="J239" s="8"/>
      <c r="K239" s="9">
        <f>IF(A239="","",IF(COUNTIF($A$2:$A$301,A239)&gt;1,"DOUBLON",IF(OR(B239="",C239="",D239="",COUNTIF(ListeServices,E239)&lt;&gt;1,G239="",COUNTIF(ListeMessages,H239)&lt;&gt;1),"Saisie incomplète",IF(OR(AND(I239&lt;&gt;"",I239&lt;B239),AND(J239&lt;&gt;"",OR(I239="",J239&lt;I239)),B239&gt;Parametres!$B$7),"Dates à corriger",IF(AND(H239="Traité",OR(I239="",J239="")),"Dates manquantes",IF(AND(H239="Transmis",I239=""),"Transmission manquante",IF(AND(H239&lt;&gt;"Traité",Parametres!$B$7-B239&gt;1),"À relancer","OK")))))))</f>
        <v/>
      </c>
    </row>
    <row r="240" spans="1:11" ht="22" customHeight="1">
      <c r="A240" s="8"/>
      <c r="B240" s="8"/>
      <c r="C240" s="8"/>
      <c r="D240" s="8"/>
      <c r="E240" s="8"/>
      <c r="F240" s="9">
        <f>IF(E240="","",IFERROR(VLOOKUP(E240,Services!$A$2:$D$4,2,FALSE),"Service à corriger"))</f>
        <v/>
      </c>
      <c r="G240" s="8"/>
      <c r="H240" s="8"/>
      <c r="I240" s="8"/>
      <c r="J240" s="8"/>
      <c r="K240" s="9">
        <f>IF(A240="","",IF(COUNTIF($A$2:$A$301,A240)&gt;1,"DOUBLON",IF(OR(B240="",C240="",D240="",COUNTIF(ListeServices,E240)&lt;&gt;1,G240="",COUNTIF(ListeMessages,H240)&lt;&gt;1),"Saisie incomplète",IF(OR(AND(I240&lt;&gt;"",I240&lt;B240),AND(J240&lt;&gt;"",OR(I240="",J240&lt;I240)),B240&gt;Parametres!$B$7),"Dates à corriger",IF(AND(H240="Traité",OR(I240="",J240="")),"Dates manquantes",IF(AND(H240="Transmis",I240=""),"Transmission manquante",IF(AND(H240&lt;&gt;"Traité",Parametres!$B$7-B240&gt;1),"À relancer","OK")))))))</f>
        <v/>
      </c>
    </row>
    <row r="241" spans="1:11" ht="22" customHeight="1">
      <c r="A241" s="8"/>
      <c r="B241" s="8"/>
      <c r="C241" s="8"/>
      <c r="D241" s="8"/>
      <c r="E241" s="8"/>
      <c r="F241" s="9">
        <f>IF(E241="","",IFERROR(VLOOKUP(E241,Services!$A$2:$D$4,2,FALSE),"Service à corriger"))</f>
        <v/>
      </c>
      <c r="G241" s="8"/>
      <c r="H241" s="8"/>
      <c r="I241" s="8"/>
      <c r="J241" s="8"/>
      <c r="K241" s="9">
        <f>IF(A241="","",IF(COUNTIF($A$2:$A$301,A241)&gt;1,"DOUBLON",IF(OR(B241="",C241="",D241="",COUNTIF(ListeServices,E241)&lt;&gt;1,G241="",COUNTIF(ListeMessages,H241)&lt;&gt;1),"Saisie incomplète",IF(OR(AND(I241&lt;&gt;"",I241&lt;B241),AND(J241&lt;&gt;"",OR(I241="",J241&lt;I241)),B241&gt;Parametres!$B$7),"Dates à corriger",IF(AND(H241="Traité",OR(I241="",J241="")),"Dates manquantes",IF(AND(H241="Transmis",I241=""),"Transmission manquante",IF(AND(H241&lt;&gt;"Traité",Parametres!$B$7-B241&gt;1),"À relancer","OK")))))))</f>
        <v/>
      </c>
    </row>
    <row r="242" spans="1:11" ht="22" customHeight="1">
      <c r="A242" s="8"/>
      <c r="B242" s="8"/>
      <c r="C242" s="8"/>
      <c r="D242" s="8"/>
      <c r="E242" s="8"/>
      <c r="F242" s="9">
        <f>IF(E242="","",IFERROR(VLOOKUP(E242,Services!$A$2:$D$4,2,FALSE),"Service à corriger"))</f>
        <v/>
      </c>
      <c r="G242" s="8"/>
      <c r="H242" s="8"/>
      <c r="I242" s="8"/>
      <c r="J242" s="8"/>
      <c r="K242" s="9">
        <f>IF(A242="","",IF(COUNTIF($A$2:$A$301,A242)&gt;1,"DOUBLON",IF(OR(B242="",C242="",D242="",COUNTIF(ListeServices,E242)&lt;&gt;1,G242="",COUNTIF(ListeMessages,H242)&lt;&gt;1),"Saisie incomplète",IF(OR(AND(I242&lt;&gt;"",I242&lt;B242),AND(J242&lt;&gt;"",OR(I242="",J242&lt;I242)),B242&gt;Parametres!$B$7),"Dates à corriger",IF(AND(H242="Traité",OR(I242="",J242="")),"Dates manquantes",IF(AND(H242="Transmis",I242=""),"Transmission manquante",IF(AND(H242&lt;&gt;"Traité",Parametres!$B$7-B242&gt;1),"À relancer","OK")))))))</f>
        <v/>
      </c>
    </row>
    <row r="243" spans="1:11" ht="22" customHeight="1">
      <c r="A243" s="8"/>
      <c r="B243" s="8"/>
      <c r="C243" s="8"/>
      <c r="D243" s="8"/>
      <c r="E243" s="8"/>
      <c r="F243" s="9">
        <f>IF(E243="","",IFERROR(VLOOKUP(E243,Services!$A$2:$D$4,2,FALSE),"Service à corriger"))</f>
        <v/>
      </c>
      <c r="G243" s="8"/>
      <c r="H243" s="8"/>
      <c r="I243" s="8"/>
      <c r="J243" s="8"/>
      <c r="K243" s="9">
        <f>IF(A243="","",IF(COUNTIF($A$2:$A$301,A243)&gt;1,"DOUBLON",IF(OR(B243="",C243="",D243="",COUNTIF(ListeServices,E243)&lt;&gt;1,G243="",COUNTIF(ListeMessages,H243)&lt;&gt;1),"Saisie incomplète",IF(OR(AND(I243&lt;&gt;"",I243&lt;B243),AND(J243&lt;&gt;"",OR(I243="",J243&lt;I243)),B243&gt;Parametres!$B$7),"Dates à corriger",IF(AND(H243="Traité",OR(I243="",J243="")),"Dates manquantes",IF(AND(H243="Transmis",I243=""),"Transmission manquante",IF(AND(H243&lt;&gt;"Traité",Parametres!$B$7-B243&gt;1),"À relancer","OK")))))))</f>
        <v/>
      </c>
    </row>
    <row r="244" spans="1:11" ht="22" customHeight="1">
      <c r="A244" s="8"/>
      <c r="B244" s="8"/>
      <c r="C244" s="8"/>
      <c r="D244" s="8"/>
      <c r="E244" s="8"/>
      <c r="F244" s="9">
        <f>IF(E244="","",IFERROR(VLOOKUP(E244,Services!$A$2:$D$4,2,FALSE),"Service à corriger"))</f>
        <v/>
      </c>
      <c r="G244" s="8"/>
      <c r="H244" s="8"/>
      <c r="I244" s="8"/>
      <c r="J244" s="8"/>
      <c r="K244" s="9">
        <f>IF(A244="","",IF(COUNTIF($A$2:$A$301,A244)&gt;1,"DOUBLON",IF(OR(B244="",C244="",D244="",COUNTIF(ListeServices,E244)&lt;&gt;1,G244="",COUNTIF(ListeMessages,H244)&lt;&gt;1),"Saisie incomplète",IF(OR(AND(I244&lt;&gt;"",I244&lt;B244),AND(J244&lt;&gt;"",OR(I244="",J244&lt;I244)),B244&gt;Parametres!$B$7),"Dates à corriger",IF(AND(H244="Traité",OR(I244="",J244="")),"Dates manquantes",IF(AND(H244="Transmis",I244=""),"Transmission manquante",IF(AND(H244&lt;&gt;"Traité",Parametres!$B$7-B244&gt;1),"À relancer","OK")))))))</f>
        <v/>
      </c>
    </row>
    <row r="245" spans="1:11" ht="22" customHeight="1">
      <c r="A245" s="8"/>
      <c r="B245" s="8"/>
      <c r="C245" s="8"/>
      <c r="D245" s="8"/>
      <c r="E245" s="8"/>
      <c r="F245" s="9">
        <f>IF(E245="","",IFERROR(VLOOKUP(E245,Services!$A$2:$D$4,2,FALSE),"Service à corriger"))</f>
        <v/>
      </c>
      <c r="G245" s="8"/>
      <c r="H245" s="8"/>
      <c r="I245" s="8"/>
      <c r="J245" s="8"/>
      <c r="K245" s="9">
        <f>IF(A245="","",IF(COUNTIF($A$2:$A$301,A245)&gt;1,"DOUBLON",IF(OR(B245="",C245="",D245="",COUNTIF(ListeServices,E245)&lt;&gt;1,G245="",COUNTIF(ListeMessages,H245)&lt;&gt;1),"Saisie incomplète",IF(OR(AND(I245&lt;&gt;"",I245&lt;B245),AND(J245&lt;&gt;"",OR(I245="",J245&lt;I245)),B245&gt;Parametres!$B$7),"Dates à corriger",IF(AND(H245="Traité",OR(I245="",J245="")),"Dates manquantes",IF(AND(H245="Transmis",I245=""),"Transmission manquante",IF(AND(H245&lt;&gt;"Traité",Parametres!$B$7-B245&gt;1),"À relancer","OK")))))))</f>
        <v/>
      </c>
    </row>
    <row r="246" spans="1:11" ht="22" customHeight="1">
      <c r="A246" s="8"/>
      <c r="B246" s="8"/>
      <c r="C246" s="8"/>
      <c r="D246" s="8"/>
      <c r="E246" s="8"/>
      <c r="F246" s="9">
        <f>IF(E246="","",IFERROR(VLOOKUP(E246,Services!$A$2:$D$4,2,FALSE),"Service à corriger"))</f>
        <v/>
      </c>
      <c r="G246" s="8"/>
      <c r="H246" s="8"/>
      <c r="I246" s="8"/>
      <c r="J246" s="8"/>
      <c r="K246" s="9">
        <f>IF(A246="","",IF(COUNTIF($A$2:$A$301,A246)&gt;1,"DOUBLON",IF(OR(B246="",C246="",D246="",COUNTIF(ListeServices,E246)&lt;&gt;1,G246="",COUNTIF(ListeMessages,H246)&lt;&gt;1),"Saisie incomplète",IF(OR(AND(I246&lt;&gt;"",I246&lt;B246),AND(J246&lt;&gt;"",OR(I246="",J246&lt;I246)),B246&gt;Parametres!$B$7),"Dates à corriger",IF(AND(H246="Traité",OR(I246="",J246="")),"Dates manquantes",IF(AND(H246="Transmis",I246=""),"Transmission manquante",IF(AND(H246&lt;&gt;"Traité",Parametres!$B$7-B246&gt;1),"À relancer","OK")))))))</f>
        <v/>
      </c>
    </row>
    <row r="247" spans="1:11" ht="22" customHeight="1">
      <c r="A247" s="8"/>
      <c r="B247" s="8"/>
      <c r="C247" s="8"/>
      <c r="D247" s="8"/>
      <c r="E247" s="8"/>
      <c r="F247" s="9">
        <f>IF(E247="","",IFERROR(VLOOKUP(E247,Services!$A$2:$D$4,2,FALSE),"Service à corriger"))</f>
        <v/>
      </c>
      <c r="G247" s="8"/>
      <c r="H247" s="8"/>
      <c r="I247" s="8"/>
      <c r="J247" s="8"/>
      <c r="K247" s="9">
        <f>IF(A247="","",IF(COUNTIF($A$2:$A$301,A247)&gt;1,"DOUBLON",IF(OR(B247="",C247="",D247="",COUNTIF(ListeServices,E247)&lt;&gt;1,G247="",COUNTIF(ListeMessages,H247)&lt;&gt;1),"Saisie incomplète",IF(OR(AND(I247&lt;&gt;"",I247&lt;B247),AND(J247&lt;&gt;"",OR(I247="",J247&lt;I247)),B247&gt;Parametres!$B$7),"Dates à corriger",IF(AND(H247="Traité",OR(I247="",J247="")),"Dates manquantes",IF(AND(H247="Transmis",I247=""),"Transmission manquante",IF(AND(H247&lt;&gt;"Traité",Parametres!$B$7-B247&gt;1),"À relancer","OK")))))))</f>
        <v/>
      </c>
    </row>
    <row r="248" spans="1:11" ht="22" customHeight="1">
      <c r="A248" s="8"/>
      <c r="B248" s="8"/>
      <c r="C248" s="8"/>
      <c r="D248" s="8"/>
      <c r="E248" s="8"/>
      <c r="F248" s="9">
        <f>IF(E248="","",IFERROR(VLOOKUP(E248,Services!$A$2:$D$4,2,FALSE),"Service à corriger"))</f>
        <v/>
      </c>
      <c r="G248" s="8"/>
      <c r="H248" s="8"/>
      <c r="I248" s="8"/>
      <c r="J248" s="8"/>
      <c r="K248" s="9">
        <f>IF(A248="","",IF(COUNTIF($A$2:$A$301,A248)&gt;1,"DOUBLON",IF(OR(B248="",C248="",D248="",COUNTIF(ListeServices,E248)&lt;&gt;1,G248="",COUNTIF(ListeMessages,H248)&lt;&gt;1),"Saisie incomplète",IF(OR(AND(I248&lt;&gt;"",I248&lt;B248),AND(J248&lt;&gt;"",OR(I248="",J248&lt;I248)),B248&gt;Parametres!$B$7),"Dates à corriger",IF(AND(H248="Traité",OR(I248="",J248="")),"Dates manquantes",IF(AND(H248="Transmis",I248=""),"Transmission manquante",IF(AND(H248&lt;&gt;"Traité",Parametres!$B$7-B248&gt;1),"À relancer","OK")))))))</f>
        <v/>
      </c>
    </row>
    <row r="249" spans="1:11" ht="22" customHeight="1">
      <c r="A249" s="8"/>
      <c r="B249" s="8"/>
      <c r="C249" s="8"/>
      <c r="D249" s="8"/>
      <c r="E249" s="8"/>
      <c r="F249" s="9">
        <f>IF(E249="","",IFERROR(VLOOKUP(E249,Services!$A$2:$D$4,2,FALSE),"Service à corriger"))</f>
        <v/>
      </c>
      <c r="G249" s="8"/>
      <c r="H249" s="8"/>
      <c r="I249" s="8"/>
      <c r="J249" s="8"/>
      <c r="K249" s="9">
        <f>IF(A249="","",IF(COUNTIF($A$2:$A$301,A249)&gt;1,"DOUBLON",IF(OR(B249="",C249="",D249="",COUNTIF(ListeServices,E249)&lt;&gt;1,G249="",COUNTIF(ListeMessages,H249)&lt;&gt;1),"Saisie incomplète",IF(OR(AND(I249&lt;&gt;"",I249&lt;B249),AND(J249&lt;&gt;"",OR(I249="",J249&lt;I249)),B249&gt;Parametres!$B$7),"Dates à corriger",IF(AND(H249="Traité",OR(I249="",J249="")),"Dates manquantes",IF(AND(H249="Transmis",I249=""),"Transmission manquante",IF(AND(H249&lt;&gt;"Traité",Parametres!$B$7-B249&gt;1),"À relancer","OK")))))))</f>
        <v/>
      </c>
    </row>
    <row r="250" spans="1:11" ht="22" customHeight="1">
      <c r="A250" s="8"/>
      <c r="B250" s="8"/>
      <c r="C250" s="8"/>
      <c r="D250" s="8"/>
      <c r="E250" s="8"/>
      <c r="F250" s="9">
        <f>IF(E250="","",IFERROR(VLOOKUP(E250,Services!$A$2:$D$4,2,FALSE),"Service à corriger"))</f>
        <v/>
      </c>
      <c r="G250" s="8"/>
      <c r="H250" s="8"/>
      <c r="I250" s="8"/>
      <c r="J250" s="8"/>
      <c r="K250" s="9">
        <f>IF(A250="","",IF(COUNTIF($A$2:$A$301,A250)&gt;1,"DOUBLON",IF(OR(B250="",C250="",D250="",COUNTIF(ListeServices,E250)&lt;&gt;1,G250="",COUNTIF(ListeMessages,H250)&lt;&gt;1),"Saisie incomplète",IF(OR(AND(I250&lt;&gt;"",I250&lt;B250),AND(J250&lt;&gt;"",OR(I250="",J250&lt;I250)),B250&gt;Parametres!$B$7),"Dates à corriger",IF(AND(H250="Traité",OR(I250="",J250="")),"Dates manquantes",IF(AND(H250="Transmis",I250=""),"Transmission manquante",IF(AND(H250&lt;&gt;"Traité",Parametres!$B$7-B250&gt;1),"À relancer","OK")))))))</f>
        <v/>
      </c>
    </row>
    <row r="251" spans="1:11" ht="22" customHeight="1">
      <c r="A251" s="8"/>
      <c r="B251" s="8"/>
      <c r="C251" s="8"/>
      <c r="D251" s="8"/>
      <c r="E251" s="8"/>
      <c r="F251" s="9">
        <f>IF(E251="","",IFERROR(VLOOKUP(E251,Services!$A$2:$D$4,2,FALSE),"Service à corriger"))</f>
        <v/>
      </c>
      <c r="G251" s="8"/>
      <c r="H251" s="8"/>
      <c r="I251" s="8"/>
      <c r="J251" s="8"/>
      <c r="K251" s="9">
        <f>IF(A251="","",IF(COUNTIF($A$2:$A$301,A251)&gt;1,"DOUBLON",IF(OR(B251="",C251="",D251="",COUNTIF(ListeServices,E251)&lt;&gt;1,G251="",COUNTIF(ListeMessages,H251)&lt;&gt;1),"Saisie incomplète",IF(OR(AND(I251&lt;&gt;"",I251&lt;B251),AND(J251&lt;&gt;"",OR(I251="",J251&lt;I251)),B251&gt;Parametres!$B$7),"Dates à corriger",IF(AND(H251="Traité",OR(I251="",J251="")),"Dates manquantes",IF(AND(H251="Transmis",I251=""),"Transmission manquante",IF(AND(H251&lt;&gt;"Traité",Parametres!$B$7-B251&gt;1),"À relancer","OK")))))))</f>
        <v/>
      </c>
    </row>
    <row r="252" spans="1:11" ht="22" customHeight="1">
      <c r="A252" s="8"/>
      <c r="B252" s="8"/>
      <c r="C252" s="8"/>
      <c r="D252" s="8"/>
      <c r="E252" s="8"/>
      <c r="F252" s="9">
        <f>IF(E252="","",IFERROR(VLOOKUP(E252,Services!$A$2:$D$4,2,FALSE),"Service à corriger"))</f>
        <v/>
      </c>
      <c r="G252" s="8"/>
      <c r="H252" s="8"/>
      <c r="I252" s="8"/>
      <c r="J252" s="8"/>
      <c r="K252" s="9">
        <f>IF(A252="","",IF(COUNTIF($A$2:$A$301,A252)&gt;1,"DOUBLON",IF(OR(B252="",C252="",D252="",COUNTIF(ListeServices,E252)&lt;&gt;1,G252="",COUNTIF(ListeMessages,H252)&lt;&gt;1),"Saisie incomplète",IF(OR(AND(I252&lt;&gt;"",I252&lt;B252),AND(J252&lt;&gt;"",OR(I252="",J252&lt;I252)),B252&gt;Parametres!$B$7),"Dates à corriger",IF(AND(H252="Traité",OR(I252="",J252="")),"Dates manquantes",IF(AND(H252="Transmis",I252=""),"Transmission manquante",IF(AND(H252&lt;&gt;"Traité",Parametres!$B$7-B252&gt;1),"À relancer","OK")))))))</f>
        <v/>
      </c>
    </row>
    <row r="253" spans="1:11" ht="22" customHeight="1">
      <c r="A253" s="8"/>
      <c r="B253" s="8"/>
      <c r="C253" s="8"/>
      <c r="D253" s="8"/>
      <c r="E253" s="8"/>
      <c r="F253" s="9">
        <f>IF(E253="","",IFERROR(VLOOKUP(E253,Services!$A$2:$D$4,2,FALSE),"Service à corriger"))</f>
        <v/>
      </c>
      <c r="G253" s="8"/>
      <c r="H253" s="8"/>
      <c r="I253" s="8"/>
      <c r="J253" s="8"/>
      <c r="K253" s="9">
        <f>IF(A253="","",IF(COUNTIF($A$2:$A$301,A253)&gt;1,"DOUBLON",IF(OR(B253="",C253="",D253="",COUNTIF(ListeServices,E253)&lt;&gt;1,G253="",COUNTIF(ListeMessages,H253)&lt;&gt;1),"Saisie incomplète",IF(OR(AND(I253&lt;&gt;"",I253&lt;B253),AND(J253&lt;&gt;"",OR(I253="",J253&lt;I253)),B253&gt;Parametres!$B$7),"Dates à corriger",IF(AND(H253="Traité",OR(I253="",J253="")),"Dates manquantes",IF(AND(H253="Transmis",I253=""),"Transmission manquante",IF(AND(H253&lt;&gt;"Traité",Parametres!$B$7-B253&gt;1),"À relancer","OK")))))))</f>
        <v/>
      </c>
    </row>
    <row r="254" spans="1:11" ht="22" customHeight="1">
      <c r="A254" s="8"/>
      <c r="B254" s="8"/>
      <c r="C254" s="8"/>
      <c r="D254" s="8"/>
      <c r="E254" s="8"/>
      <c r="F254" s="9">
        <f>IF(E254="","",IFERROR(VLOOKUP(E254,Services!$A$2:$D$4,2,FALSE),"Service à corriger"))</f>
        <v/>
      </c>
      <c r="G254" s="8"/>
      <c r="H254" s="8"/>
      <c r="I254" s="8"/>
      <c r="J254" s="8"/>
      <c r="K254" s="9">
        <f>IF(A254="","",IF(COUNTIF($A$2:$A$301,A254)&gt;1,"DOUBLON",IF(OR(B254="",C254="",D254="",COUNTIF(ListeServices,E254)&lt;&gt;1,G254="",COUNTIF(ListeMessages,H254)&lt;&gt;1),"Saisie incomplète",IF(OR(AND(I254&lt;&gt;"",I254&lt;B254),AND(J254&lt;&gt;"",OR(I254="",J254&lt;I254)),B254&gt;Parametres!$B$7),"Dates à corriger",IF(AND(H254="Traité",OR(I254="",J254="")),"Dates manquantes",IF(AND(H254="Transmis",I254=""),"Transmission manquante",IF(AND(H254&lt;&gt;"Traité",Parametres!$B$7-B254&gt;1),"À relancer","OK")))))))</f>
        <v/>
      </c>
    </row>
    <row r="255" spans="1:11" ht="22" customHeight="1">
      <c r="A255" s="8"/>
      <c r="B255" s="8"/>
      <c r="C255" s="8"/>
      <c r="D255" s="8"/>
      <c r="E255" s="8"/>
      <c r="F255" s="9">
        <f>IF(E255="","",IFERROR(VLOOKUP(E255,Services!$A$2:$D$4,2,FALSE),"Service à corriger"))</f>
        <v/>
      </c>
      <c r="G255" s="8"/>
      <c r="H255" s="8"/>
      <c r="I255" s="8"/>
      <c r="J255" s="8"/>
      <c r="K255" s="9">
        <f>IF(A255="","",IF(COUNTIF($A$2:$A$301,A255)&gt;1,"DOUBLON",IF(OR(B255="",C255="",D255="",COUNTIF(ListeServices,E255)&lt;&gt;1,G255="",COUNTIF(ListeMessages,H255)&lt;&gt;1),"Saisie incomplète",IF(OR(AND(I255&lt;&gt;"",I255&lt;B255),AND(J255&lt;&gt;"",OR(I255="",J255&lt;I255)),B255&gt;Parametres!$B$7),"Dates à corriger",IF(AND(H255="Traité",OR(I255="",J255="")),"Dates manquantes",IF(AND(H255="Transmis",I255=""),"Transmission manquante",IF(AND(H255&lt;&gt;"Traité",Parametres!$B$7-B255&gt;1),"À relancer","OK")))))))</f>
        <v/>
      </c>
    </row>
    <row r="256" spans="1:11" ht="22" customHeight="1">
      <c r="A256" s="8"/>
      <c r="B256" s="8"/>
      <c r="C256" s="8"/>
      <c r="D256" s="8"/>
      <c r="E256" s="8"/>
      <c r="F256" s="9">
        <f>IF(E256="","",IFERROR(VLOOKUP(E256,Services!$A$2:$D$4,2,FALSE),"Service à corriger"))</f>
        <v/>
      </c>
      <c r="G256" s="8"/>
      <c r="H256" s="8"/>
      <c r="I256" s="8"/>
      <c r="J256" s="8"/>
      <c r="K256" s="9">
        <f>IF(A256="","",IF(COUNTIF($A$2:$A$301,A256)&gt;1,"DOUBLON",IF(OR(B256="",C256="",D256="",COUNTIF(ListeServices,E256)&lt;&gt;1,G256="",COUNTIF(ListeMessages,H256)&lt;&gt;1),"Saisie incomplète",IF(OR(AND(I256&lt;&gt;"",I256&lt;B256),AND(J256&lt;&gt;"",OR(I256="",J256&lt;I256)),B256&gt;Parametres!$B$7),"Dates à corriger",IF(AND(H256="Traité",OR(I256="",J256="")),"Dates manquantes",IF(AND(H256="Transmis",I256=""),"Transmission manquante",IF(AND(H256&lt;&gt;"Traité",Parametres!$B$7-B256&gt;1),"À relancer","OK")))))))</f>
        <v/>
      </c>
    </row>
    <row r="257" spans="1:11" ht="22" customHeight="1">
      <c r="A257" s="8"/>
      <c r="B257" s="8"/>
      <c r="C257" s="8"/>
      <c r="D257" s="8"/>
      <c r="E257" s="8"/>
      <c r="F257" s="9">
        <f>IF(E257="","",IFERROR(VLOOKUP(E257,Services!$A$2:$D$4,2,FALSE),"Service à corriger"))</f>
        <v/>
      </c>
      <c r="G257" s="8"/>
      <c r="H257" s="8"/>
      <c r="I257" s="8"/>
      <c r="J257" s="8"/>
      <c r="K257" s="9">
        <f>IF(A257="","",IF(COUNTIF($A$2:$A$301,A257)&gt;1,"DOUBLON",IF(OR(B257="",C257="",D257="",COUNTIF(ListeServices,E257)&lt;&gt;1,G257="",COUNTIF(ListeMessages,H257)&lt;&gt;1),"Saisie incomplète",IF(OR(AND(I257&lt;&gt;"",I257&lt;B257),AND(J257&lt;&gt;"",OR(I257="",J257&lt;I257)),B257&gt;Parametres!$B$7),"Dates à corriger",IF(AND(H257="Traité",OR(I257="",J257="")),"Dates manquantes",IF(AND(H257="Transmis",I257=""),"Transmission manquante",IF(AND(H257&lt;&gt;"Traité",Parametres!$B$7-B257&gt;1),"À relancer","OK")))))))</f>
        <v/>
      </c>
    </row>
    <row r="258" spans="1:11" ht="22" customHeight="1">
      <c r="A258" s="8"/>
      <c r="B258" s="8"/>
      <c r="C258" s="8"/>
      <c r="D258" s="8"/>
      <c r="E258" s="8"/>
      <c r="F258" s="9">
        <f>IF(E258="","",IFERROR(VLOOKUP(E258,Services!$A$2:$D$4,2,FALSE),"Service à corriger"))</f>
        <v/>
      </c>
      <c r="G258" s="8"/>
      <c r="H258" s="8"/>
      <c r="I258" s="8"/>
      <c r="J258" s="8"/>
      <c r="K258" s="9">
        <f>IF(A258="","",IF(COUNTIF($A$2:$A$301,A258)&gt;1,"DOUBLON",IF(OR(B258="",C258="",D258="",COUNTIF(ListeServices,E258)&lt;&gt;1,G258="",COUNTIF(ListeMessages,H258)&lt;&gt;1),"Saisie incomplète",IF(OR(AND(I258&lt;&gt;"",I258&lt;B258),AND(J258&lt;&gt;"",OR(I258="",J258&lt;I258)),B258&gt;Parametres!$B$7),"Dates à corriger",IF(AND(H258="Traité",OR(I258="",J258="")),"Dates manquantes",IF(AND(H258="Transmis",I258=""),"Transmission manquante",IF(AND(H258&lt;&gt;"Traité",Parametres!$B$7-B258&gt;1),"À relancer","OK")))))))</f>
        <v/>
      </c>
    </row>
    <row r="259" spans="1:11" ht="22" customHeight="1">
      <c r="A259" s="8"/>
      <c r="B259" s="8"/>
      <c r="C259" s="8"/>
      <c r="D259" s="8"/>
      <c r="E259" s="8"/>
      <c r="F259" s="9">
        <f>IF(E259="","",IFERROR(VLOOKUP(E259,Services!$A$2:$D$4,2,FALSE),"Service à corriger"))</f>
        <v/>
      </c>
      <c r="G259" s="8"/>
      <c r="H259" s="8"/>
      <c r="I259" s="8"/>
      <c r="J259" s="8"/>
      <c r="K259" s="9">
        <f>IF(A259="","",IF(COUNTIF($A$2:$A$301,A259)&gt;1,"DOUBLON",IF(OR(B259="",C259="",D259="",COUNTIF(ListeServices,E259)&lt;&gt;1,G259="",COUNTIF(ListeMessages,H259)&lt;&gt;1),"Saisie incomplète",IF(OR(AND(I259&lt;&gt;"",I259&lt;B259),AND(J259&lt;&gt;"",OR(I259="",J259&lt;I259)),B259&gt;Parametres!$B$7),"Dates à corriger",IF(AND(H259="Traité",OR(I259="",J259="")),"Dates manquantes",IF(AND(H259="Transmis",I259=""),"Transmission manquante",IF(AND(H259&lt;&gt;"Traité",Parametres!$B$7-B259&gt;1),"À relancer","OK")))))))</f>
        <v/>
      </c>
    </row>
    <row r="260" spans="1:11" ht="22" customHeight="1">
      <c r="A260" s="8"/>
      <c r="B260" s="8"/>
      <c r="C260" s="8"/>
      <c r="D260" s="8"/>
      <c r="E260" s="8"/>
      <c r="F260" s="9">
        <f>IF(E260="","",IFERROR(VLOOKUP(E260,Services!$A$2:$D$4,2,FALSE),"Service à corriger"))</f>
        <v/>
      </c>
      <c r="G260" s="8"/>
      <c r="H260" s="8"/>
      <c r="I260" s="8"/>
      <c r="J260" s="8"/>
      <c r="K260" s="9">
        <f>IF(A260="","",IF(COUNTIF($A$2:$A$301,A260)&gt;1,"DOUBLON",IF(OR(B260="",C260="",D260="",COUNTIF(ListeServices,E260)&lt;&gt;1,G260="",COUNTIF(ListeMessages,H260)&lt;&gt;1),"Saisie incomplète",IF(OR(AND(I260&lt;&gt;"",I260&lt;B260),AND(J260&lt;&gt;"",OR(I260="",J260&lt;I260)),B260&gt;Parametres!$B$7),"Dates à corriger",IF(AND(H260="Traité",OR(I260="",J260="")),"Dates manquantes",IF(AND(H260="Transmis",I260=""),"Transmission manquante",IF(AND(H260&lt;&gt;"Traité",Parametres!$B$7-B260&gt;1),"À relancer","OK")))))))</f>
        <v/>
      </c>
    </row>
    <row r="261" spans="1:11" ht="22" customHeight="1">
      <c r="A261" s="8"/>
      <c r="B261" s="8"/>
      <c r="C261" s="8"/>
      <c r="D261" s="8"/>
      <c r="E261" s="8"/>
      <c r="F261" s="9">
        <f>IF(E261="","",IFERROR(VLOOKUP(E261,Services!$A$2:$D$4,2,FALSE),"Service à corriger"))</f>
        <v/>
      </c>
      <c r="G261" s="8"/>
      <c r="H261" s="8"/>
      <c r="I261" s="8"/>
      <c r="J261" s="8"/>
      <c r="K261" s="9">
        <f>IF(A261="","",IF(COUNTIF($A$2:$A$301,A261)&gt;1,"DOUBLON",IF(OR(B261="",C261="",D261="",COUNTIF(ListeServices,E261)&lt;&gt;1,G261="",COUNTIF(ListeMessages,H261)&lt;&gt;1),"Saisie incomplète",IF(OR(AND(I261&lt;&gt;"",I261&lt;B261),AND(J261&lt;&gt;"",OR(I261="",J261&lt;I261)),B261&gt;Parametres!$B$7),"Dates à corriger",IF(AND(H261="Traité",OR(I261="",J261="")),"Dates manquantes",IF(AND(H261="Transmis",I261=""),"Transmission manquante",IF(AND(H261&lt;&gt;"Traité",Parametres!$B$7-B261&gt;1),"À relancer","OK")))))))</f>
        <v/>
      </c>
    </row>
    <row r="262" spans="1:11" ht="22" customHeight="1">
      <c r="A262" s="8"/>
      <c r="B262" s="8"/>
      <c r="C262" s="8"/>
      <c r="D262" s="8"/>
      <c r="E262" s="8"/>
      <c r="F262" s="9">
        <f>IF(E262="","",IFERROR(VLOOKUP(E262,Services!$A$2:$D$4,2,FALSE),"Service à corriger"))</f>
        <v/>
      </c>
      <c r="G262" s="8"/>
      <c r="H262" s="8"/>
      <c r="I262" s="8"/>
      <c r="J262" s="8"/>
      <c r="K262" s="9">
        <f>IF(A262="","",IF(COUNTIF($A$2:$A$301,A262)&gt;1,"DOUBLON",IF(OR(B262="",C262="",D262="",COUNTIF(ListeServices,E262)&lt;&gt;1,G262="",COUNTIF(ListeMessages,H262)&lt;&gt;1),"Saisie incomplète",IF(OR(AND(I262&lt;&gt;"",I262&lt;B262),AND(J262&lt;&gt;"",OR(I262="",J262&lt;I262)),B262&gt;Parametres!$B$7),"Dates à corriger",IF(AND(H262="Traité",OR(I262="",J262="")),"Dates manquantes",IF(AND(H262="Transmis",I262=""),"Transmission manquante",IF(AND(H262&lt;&gt;"Traité",Parametres!$B$7-B262&gt;1),"À relancer","OK")))))))</f>
        <v/>
      </c>
    </row>
    <row r="263" spans="1:11" ht="22" customHeight="1">
      <c r="A263" s="8"/>
      <c r="B263" s="8"/>
      <c r="C263" s="8"/>
      <c r="D263" s="8"/>
      <c r="E263" s="8"/>
      <c r="F263" s="9">
        <f>IF(E263="","",IFERROR(VLOOKUP(E263,Services!$A$2:$D$4,2,FALSE),"Service à corriger"))</f>
        <v/>
      </c>
      <c r="G263" s="8"/>
      <c r="H263" s="8"/>
      <c r="I263" s="8"/>
      <c r="J263" s="8"/>
      <c r="K263" s="9">
        <f>IF(A263="","",IF(COUNTIF($A$2:$A$301,A263)&gt;1,"DOUBLON",IF(OR(B263="",C263="",D263="",COUNTIF(ListeServices,E263)&lt;&gt;1,G263="",COUNTIF(ListeMessages,H263)&lt;&gt;1),"Saisie incomplète",IF(OR(AND(I263&lt;&gt;"",I263&lt;B263),AND(J263&lt;&gt;"",OR(I263="",J263&lt;I263)),B263&gt;Parametres!$B$7),"Dates à corriger",IF(AND(H263="Traité",OR(I263="",J263="")),"Dates manquantes",IF(AND(H263="Transmis",I263=""),"Transmission manquante",IF(AND(H263&lt;&gt;"Traité",Parametres!$B$7-B263&gt;1),"À relancer","OK")))))))</f>
        <v/>
      </c>
    </row>
    <row r="264" spans="1:11" ht="22" customHeight="1">
      <c r="A264" s="8"/>
      <c r="B264" s="8"/>
      <c r="C264" s="8"/>
      <c r="D264" s="8"/>
      <c r="E264" s="8"/>
      <c r="F264" s="9">
        <f>IF(E264="","",IFERROR(VLOOKUP(E264,Services!$A$2:$D$4,2,FALSE),"Service à corriger"))</f>
        <v/>
      </c>
      <c r="G264" s="8"/>
      <c r="H264" s="8"/>
      <c r="I264" s="8"/>
      <c r="J264" s="8"/>
      <c r="K264" s="9">
        <f>IF(A264="","",IF(COUNTIF($A$2:$A$301,A264)&gt;1,"DOUBLON",IF(OR(B264="",C264="",D264="",COUNTIF(ListeServices,E264)&lt;&gt;1,G264="",COUNTIF(ListeMessages,H264)&lt;&gt;1),"Saisie incomplète",IF(OR(AND(I264&lt;&gt;"",I264&lt;B264),AND(J264&lt;&gt;"",OR(I264="",J264&lt;I264)),B264&gt;Parametres!$B$7),"Dates à corriger",IF(AND(H264="Traité",OR(I264="",J264="")),"Dates manquantes",IF(AND(H264="Transmis",I264=""),"Transmission manquante",IF(AND(H264&lt;&gt;"Traité",Parametres!$B$7-B264&gt;1),"À relancer","OK")))))))</f>
        <v/>
      </c>
    </row>
    <row r="265" spans="1:11" ht="22" customHeight="1">
      <c r="A265" s="8"/>
      <c r="B265" s="8"/>
      <c r="C265" s="8"/>
      <c r="D265" s="8"/>
      <c r="E265" s="8"/>
      <c r="F265" s="9">
        <f>IF(E265="","",IFERROR(VLOOKUP(E265,Services!$A$2:$D$4,2,FALSE),"Service à corriger"))</f>
        <v/>
      </c>
      <c r="G265" s="8"/>
      <c r="H265" s="8"/>
      <c r="I265" s="8"/>
      <c r="J265" s="8"/>
      <c r="K265" s="9">
        <f>IF(A265="","",IF(COUNTIF($A$2:$A$301,A265)&gt;1,"DOUBLON",IF(OR(B265="",C265="",D265="",COUNTIF(ListeServices,E265)&lt;&gt;1,G265="",COUNTIF(ListeMessages,H265)&lt;&gt;1),"Saisie incomplète",IF(OR(AND(I265&lt;&gt;"",I265&lt;B265),AND(J265&lt;&gt;"",OR(I265="",J265&lt;I265)),B265&gt;Parametres!$B$7),"Dates à corriger",IF(AND(H265="Traité",OR(I265="",J265="")),"Dates manquantes",IF(AND(H265="Transmis",I265=""),"Transmission manquante",IF(AND(H265&lt;&gt;"Traité",Parametres!$B$7-B265&gt;1),"À relancer","OK")))))))</f>
        <v/>
      </c>
    </row>
    <row r="266" spans="1:11" ht="22" customHeight="1">
      <c r="A266" s="8"/>
      <c r="B266" s="8"/>
      <c r="C266" s="8"/>
      <c r="D266" s="8"/>
      <c r="E266" s="8"/>
      <c r="F266" s="9">
        <f>IF(E266="","",IFERROR(VLOOKUP(E266,Services!$A$2:$D$4,2,FALSE),"Service à corriger"))</f>
        <v/>
      </c>
      <c r="G266" s="8"/>
      <c r="H266" s="8"/>
      <c r="I266" s="8"/>
      <c r="J266" s="8"/>
      <c r="K266" s="9">
        <f>IF(A266="","",IF(COUNTIF($A$2:$A$301,A266)&gt;1,"DOUBLON",IF(OR(B266="",C266="",D266="",COUNTIF(ListeServices,E266)&lt;&gt;1,G266="",COUNTIF(ListeMessages,H266)&lt;&gt;1),"Saisie incomplète",IF(OR(AND(I266&lt;&gt;"",I266&lt;B266),AND(J266&lt;&gt;"",OR(I266="",J266&lt;I266)),B266&gt;Parametres!$B$7),"Dates à corriger",IF(AND(H266="Traité",OR(I266="",J266="")),"Dates manquantes",IF(AND(H266="Transmis",I266=""),"Transmission manquante",IF(AND(H266&lt;&gt;"Traité",Parametres!$B$7-B266&gt;1),"À relancer","OK")))))))</f>
        <v/>
      </c>
    </row>
    <row r="267" spans="1:11" ht="22" customHeight="1">
      <c r="A267" s="8"/>
      <c r="B267" s="8"/>
      <c r="C267" s="8"/>
      <c r="D267" s="8"/>
      <c r="E267" s="8"/>
      <c r="F267" s="9">
        <f>IF(E267="","",IFERROR(VLOOKUP(E267,Services!$A$2:$D$4,2,FALSE),"Service à corriger"))</f>
        <v/>
      </c>
      <c r="G267" s="8"/>
      <c r="H267" s="8"/>
      <c r="I267" s="8"/>
      <c r="J267" s="8"/>
      <c r="K267" s="9">
        <f>IF(A267="","",IF(COUNTIF($A$2:$A$301,A267)&gt;1,"DOUBLON",IF(OR(B267="",C267="",D267="",COUNTIF(ListeServices,E267)&lt;&gt;1,G267="",COUNTIF(ListeMessages,H267)&lt;&gt;1),"Saisie incomplète",IF(OR(AND(I267&lt;&gt;"",I267&lt;B267),AND(J267&lt;&gt;"",OR(I267="",J267&lt;I267)),B267&gt;Parametres!$B$7),"Dates à corriger",IF(AND(H267="Traité",OR(I267="",J267="")),"Dates manquantes",IF(AND(H267="Transmis",I267=""),"Transmission manquante",IF(AND(H267&lt;&gt;"Traité",Parametres!$B$7-B267&gt;1),"À relancer","OK")))))))</f>
        <v/>
      </c>
    </row>
    <row r="268" spans="1:11" ht="22" customHeight="1">
      <c r="A268" s="8"/>
      <c r="B268" s="8"/>
      <c r="C268" s="8"/>
      <c r="D268" s="8"/>
      <c r="E268" s="8"/>
      <c r="F268" s="9">
        <f>IF(E268="","",IFERROR(VLOOKUP(E268,Services!$A$2:$D$4,2,FALSE),"Service à corriger"))</f>
        <v/>
      </c>
      <c r="G268" s="8"/>
      <c r="H268" s="8"/>
      <c r="I268" s="8"/>
      <c r="J268" s="8"/>
      <c r="K268" s="9">
        <f>IF(A268="","",IF(COUNTIF($A$2:$A$301,A268)&gt;1,"DOUBLON",IF(OR(B268="",C268="",D268="",COUNTIF(ListeServices,E268)&lt;&gt;1,G268="",COUNTIF(ListeMessages,H268)&lt;&gt;1),"Saisie incomplète",IF(OR(AND(I268&lt;&gt;"",I268&lt;B268),AND(J268&lt;&gt;"",OR(I268="",J268&lt;I268)),B268&gt;Parametres!$B$7),"Dates à corriger",IF(AND(H268="Traité",OR(I268="",J268="")),"Dates manquantes",IF(AND(H268="Transmis",I268=""),"Transmission manquante",IF(AND(H268&lt;&gt;"Traité",Parametres!$B$7-B268&gt;1),"À relancer","OK")))))))</f>
        <v/>
      </c>
    </row>
    <row r="269" spans="1:11" ht="22" customHeight="1">
      <c r="A269" s="8"/>
      <c r="B269" s="8"/>
      <c r="C269" s="8"/>
      <c r="D269" s="8"/>
      <c r="E269" s="8"/>
      <c r="F269" s="9">
        <f>IF(E269="","",IFERROR(VLOOKUP(E269,Services!$A$2:$D$4,2,FALSE),"Service à corriger"))</f>
        <v/>
      </c>
      <c r="G269" s="8"/>
      <c r="H269" s="8"/>
      <c r="I269" s="8"/>
      <c r="J269" s="8"/>
      <c r="K269" s="9">
        <f>IF(A269="","",IF(COUNTIF($A$2:$A$301,A269)&gt;1,"DOUBLON",IF(OR(B269="",C269="",D269="",COUNTIF(ListeServices,E269)&lt;&gt;1,G269="",COUNTIF(ListeMessages,H269)&lt;&gt;1),"Saisie incomplète",IF(OR(AND(I269&lt;&gt;"",I269&lt;B269),AND(J269&lt;&gt;"",OR(I269="",J269&lt;I269)),B269&gt;Parametres!$B$7),"Dates à corriger",IF(AND(H269="Traité",OR(I269="",J269="")),"Dates manquantes",IF(AND(H269="Transmis",I269=""),"Transmission manquante",IF(AND(H269&lt;&gt;"Traité",Parametres!$B$7-B269&gt;1),"À relancer","OK")))))))</f>
        <v/>
      </c>
    </row>
    <row r="270" spans="1:11" ht="22" customHeight="1">
      <c r="A270" s="8"/>
      <c r="B270" s="8"/>
      <c r="C270" s="8"/>
      <c r="D270" s="8"/>
      <c r="E270" s="8"/>
      <c r="F270" s="9">
        <f>IF(E270="","",IFERROR(VLOOKUP(E270,Services!$A$2:$D$4,2,FALSE),"Service à corriger"))</f>
        <v/>
      </c>
      <c r="G270" s="8"/>
      <c r="H270" s="8"/>
      <c r="I270" s="8"/>
      <c r="J270" s="8"/>
      <c r="K270" s="9">
        <f>IF(A270="","",IF(COUNTIF($A$2:$A$301,A270)&gt;1,"DOUBLON",IF(OR(B270="",C270="",D270="",COUNTIF(ListeServices,E270)&lt;&gt;1,G270="",COUNTIF(ListeMessages,H270)&lt;&gt;1),"Saisie incomplète",IF(OR(AND(I270&lt;&gt;"",I270&lt;B270),AND(J270&lt;&gt;"",OR(I270="",J270&lt;I270)),B270&gt;Parametres!$B$7),"Dates à corriger",IF(AND(H270="Traité",OR(I270="",J270="")),"Dates manquantes",IF(AND(H270="Transmis",I270=""),"Transmission manquante",IF(AND(H270&lt;&gt;"Traité",Parametres!$B$7-B270&gt;1),"À relancer","OK")))))))</f>
        <v/>
      </c>
    </row>
    <row r="271" spans="1:11" ht="22" customHeight="1">
      <c r="A271" s="8"/>
      <c r="B271" s="8"/>
      <c r="C271" s="8"/>
      <c r="D271" s="8"/>
      <c r="E271" s="8"/>
      <c r="F271" s="9">
        <f>IF(E271="","",IFERROR(VLOOKUP(E271,Services!$A$2:$D$4,2,FALSE),"Service à corriger"))</f>
        <v/>
      </c>
      <c r="G271" s="8"/>
      <c r="H271" s="8"/>
      <c r="I271" s="8"/>
      <c r="J271" s="8"/>
      <c r="K271" s="9">
        <f>IF(A271="","",IF(COUNTIF($A$2:$A$301,A271)&gt;1,"DOUBLON",IF(OR(B271="",C271="",D271="",COUNTIF(ListeServices,E271)&lt;&gt;1,G271="",COUNTIF(ListeMessages,H271)&lt;&gt;1),"Saisie incomplète",IF(OR(AND(I271&lt;&gt;"",I271&lt;B271),AND(J271&lt;&gt;"",OR(I271="",J271&lt;I271)),B271&gt;Parametres!$B$7),"Dates à corriger",IF(AND(H271="Traité",OR(I271="",J271="")),"Dates manquantes",IF(AND(H271="Transmis",I271=""),"Transmission manquante",IF(AND(H271&lt;&gt;"Traité",Parametres!$B$7-B271&gt;1),"À relancer","OK")))))))</f>
        <v/>
      </c>
    </row>
    <row r="272" spans="1:11" ht="22" customHeight="1">
      <c r="A272" s="8"/>
      <c r="B272" s="8"/>
      <c r="C272" s="8"/>
      <c r="D272" s="8"/>
      <c r="E272" s="8"/>
      <c r="F272" s="9">
        <f>IF(E272="","",IFERROR(VLOOKUP(E272,Services!$A$2:$D$4,2,FALSE),"Service à corriger"))</f>
        <v/>
      </c>
      <c r="G272" s="8"/>
      <c r="H272" s="8"/>
      <c r="I272" s="8"/>
      <c r="J272" s="8"/>
      <c r="K272" s="9">
        <f>IF(A272="","",IF(COUNTIF($A$2:$A$301,A272)&gt;1,"DOUBLON",IF(OR(B272="",C272="",D272="",COUNTIF(ListeServices,E272)&lt;&gt;1,G272="",COUNTIF(ListeMessages,H272)&lt;&gt;1),"Saisie incomplète",IF(OR(AND(I272&lt;&gt;"",I272&lt;B272),AND(J272&lt;&gt;"",OR(I272="",J272&lt;I272)),B272&gt;Parametres!$B$7),"Dates à corriger",IF(AND(H272="Traité",OR(I272="",J272="")),"Dates manquantes",IF(AND(H272="Transmis",I272=""),"Transmission manquante",IF(AND(H272&lt;&gt;"Traité",Parametres!$B$7-B272&gt;1),"À relancer","OK")))))))</f>
        <v/>
      </c>
    </row>
    <row r="273" spans="1:11" ht="22" customHeight="1">
      <c r="A273" s="8"/>
      <c r="B273" s="8"/>
      <c r="C273" s="8"/>
      <c r="D273" s="8"/>
      <c r="E273" s="8"/>
      <c r="F273" s="9">
        <f>IF(E273="","",IFERROR(VLOOKUP(E273,Services!$A$2:$D$4,2,FALSE),"Service à corriger"))</f>
        <v/>
      </c>
      <c r="G273" s="8"/>
      <c r="H273" s="8"/>
      <c r="I273" s="8"/>
      <c r="J273" s="8"/>
      <c r="K273" s="9">
        <f>IF(A273="","",IF(COUNTIF($A$2:$A$301,A273)&gt;1,"DOUBLON",IF(OR(B273="",C273="",D273="",COUNTIF(ListeServices,E273)&lt;&gt;1,G273="",COUNTIF(ListeMessages,H273)&lt;&gt;1),"Saisie incomplète",IF(OR(AND(I273&lt;&gt;"",I273&lt;B273),AND(J273&lt;&gt;"",OR(I273="",J273&lt;I273)),B273&gt;Parametres!$B$7),"Dates à corriger",IF(AND(H273="Traité",OR(I273="",J273="")),"Dates manquantes",IF(AND(H273="Transmis",I273=""),"Transmission manquante",IF(AND(H273&lt;&gt;"Traité",Parametres!$B$7-B273&gt;1),"À relancer","OK")))))))</f>
        <v/>
      </c>
    </row>
    <row r="274" spans="1:11" ht="22" customHeight="1">
      <c r="A274" s="8"/>
      <c r="B274" s="8"/>
      <c r="C274" s="8"/>
      <c r="D274" s="8"/>
      <c r="E274" s="8"/>
      <c r="F274" s="9">
        <f>IF(E274="","",IFERROR(VLOOKUP(E274,Services!$A$2:$D$4,2,FALSE),"Service à corriger"))</f>
        <v/>
      </c>
      <c r="G274" s="8"/>
      <c r="H274" s="8"/>
      <c r="I274" s="8"/>
      <c r="J274" s="8"/>
      <c r="K274" s="9">
        <f>IF(A274="","",IF(COUNTIF($A$2:$A$301,A274)&gt;1,"DOUBLON",IF(OR(B274="",C274="",D274="",COUNTIF(ListeServices,E274)&lt;&gt;1,G274="",COUNTIF(ListeMessages,H274)&lt;&gt;1),"Saisie incomplète",IF(OR(AND(I274&lt;&gt;"",I274&lt;B274),AND(J274&lt;&gt;"",OR(I274="",J274&lt;I274)),B274&gt;Parametres!$B$7),"Dates à corriger",IF(AND(H274="Traité",OR(I274="",J274="")),"Dates manquantes",IF(AND(H274="Transmis",I274=""),"Transmission manquante",IF(AND(H274&lt;&gt;"Traité",Parametres!$B$7-B274&gt;1),"À relancer","OK")))))))</f>
        <v/>
      </c>
    </row>
    <row r="275" spans="1:11" ht="22" customHeight="1">
      <c r="A275" s="8"/>
      <c r="B275" s="8"/>
      <c r="C275" s="8"/>
      <c r="D275" s="8"/>
      <c r="E275" s="8"/>
      <c r="F275" s="9">
        <f>IF(E275="","",IFERROR(VLOOKUP(E275,Services!$A$2:$D$4,2,FALSE),"Service à corriger"))</f>
        <v/>
      </c>
      <c r="G275" s="8"/>
      <c r="H275" s="8"/>
      <c r="I275" s="8"/>
      <c r="J275" s="8"/>
      <c r="K275" s="9">
        <f>IF(A275="","",IF(COUNTIF($A$2:$A$301,A275)&gt;1,"DOUBLON",IF(OR(B275="",C275="",D275="",COUNTIF(ListeServices,E275)&lt;&gt;1,G275="",COUNTIF(ListeMessages,H275)&lt;&gt;1),"Saisie incomplète",IF(OR(AND(I275&lt;&gt;"",I275&lt;B275),AND(J275&lt;&gt;"",OR(I275="",J275&lt;I275)),B275&gt;Parametres!$B$7),"Dates à corriger",IF(AND(H275="Traité",OR(I275="",J275="")),"Dates manquantes",IF(AND(H275="Transmis",I275=""),"Transmission manquante",IF(AND(H275&lt;&gt;"Traité",Parametres!$B$7-B275&gt;1),"À relancer","OK")))))))</f>
        <v/>
      </c>
    </row>
    <row r="276" spans="1:11" ht="22" customHeight="1">
      <c r="A276" s="8"/>
      <c r="B276" s="8"/>
      <c r="C276" s="8"/>
      <c r="D276" s="8"/>
      <c r="E276" s="8"/>
      <c r="F276" s="9">
        <f>IF(E276="","",IFERROR(VLOOKUP(E276,Services!$A$2:$D$4,2,FALSE),"Service à corriger"))</f>
        <v/>
      </c>
      <c r="G276" s="8"/>
      <c r="H276" s="8"/>
      <c r="I276" s="8"/>
      <c r="J276" s="8"/>
      <c r="K276" s="9">
        <f>IF(A276="","",IF(COUNTIF($A$2:$A$301,A276)&gt;1,"DOUBLON",IF(OR(B276="",C276="",D276="",COUNTIF(ListeServices,E276)&lt;&gt;1,G276="",COUNTIF(ListeMessages,H276)&lt;&gt;1),"Saisie incomplète",IF(OR(AND(I276&lt;&gt;"",I276&lt;B276),AND(J276&lt;&gt;"",OR(I276="",J276&lt;I276)),B276&gt;Parametres!$B$7),"Dates à corriger",IF(AND(H276="Traité",OR(I276="",J276="")),"Dates manquantes",IF(AND(H276="Transmis",I276=""),"Transmission manquante",IF(AND(H276&lt;&gt;"Traité",Parametres!$B$7-B276&gt;1),"À relancer","OK")))))))</f>
        <v/>
      </c>
    </row>
    <row r="277" spans="1:11" ht="22" customHeight="1">
      <c r="A277" s="8"/>
      <c r="B277" s="8"/>
      <c r="C277" s="8"/>
      <c r="D277" s="8"/>
      <c r="E277" s="8"/>
      <c r="F277" s="9">
        <f>IF(E277="","",IFERROR(VLOOKUP(E277,Services!$A$2:$D$4,2,FALSE),"Service à corriger"))</f>
        <v/>
      </c>
      <c r="G277" s="8"/>
      <c r="H277" s="8"/>
      <c r="I277" s="8"/>
      <c r="J277" s="8"/>
      <c r="K277" s="9">
        <f>IF(A277="","",IF(COUNTIF($A$2:$A$301,A277)&gt;1,"DOUBLON",IF(OR(B277="",C277="",D277="",COUNTIF(ListeServices,E277)&lt;&gt;1,G277="",COUNTIF(ListeMessages,H277)&lt;&gt;1),"Saisie incomplète",IF(OR(AND(I277&lt;&gt;"",I277&lt;B277),AND(J277&lt;&gt;"",OR(I277="",J277&lt;I277)),B277&gt;Parametres!$B$7),"Dates à corriger",IF(AND(H277="Traité",OR(I277="",J277="")),"Dates manquantes",IF(AND(H277="Transmis",I277=""),"Transmission manquante",IF(AND(H277&lt;&gt;"Traité",Parametres!$B$7-B277&gt;1),"À relancer","OK")))))))</f>
        <v/>
      </c>
    </row>
    <row r="278" spans="1:11" ht="22" customHeight="1">
      <c r="A278" s="8"/>
      <c r="B278" s="8"/>
      <c r="C278" s="8"/>
      <c r="D278" s="8"/>
      <c r="E278" s="8"/>
      <c r="F278" s="9">
        <f>IF(E278="","",IFERROR(VLOOKUP(E278,Services!$A$2:$D$4,2,FALSE),"Service à corriger"))</f>
        <v/>
      </c>
      <c r="G278" s="8"/>
      <c r="H278" s="8"/>
      <c r="I278" s="8"/>
      <c r="J278" s="8"/>
      <c r="K278" s="9">
        <f>IF(A278="","",IF(COUNTIF($A$2:$A$301,A278)&gt;1,"DOUBLON",IF(OR(B278="",C278="",D278="",COUNTIF(ListeServices,E278)&lt;&gt;1,G278="",COUNTIF(ListeMessages,H278)&lt;&gt;1),"Saisie incomplète",IF(OR(AND(I278&lt;&gt;"",I278&lt;B278),AND(J278&lt;&gt;"",OR(I278="",J278&lt;I278)),B278&gt;Parametres!$B$7),"Dates à corriger",IF(AND(H278="Traité",OR(I278="",J278="")),"Dates manquantes",IF(AND(H278="Transmis",I278=""),"Transmission manquante",IF(AND(H278&lt;&gt;"Traité",Parametres!$B$7-B278&gt;1),"À relancer","OK")))))))</f>
        <v/>
      </c>
    </row>
    <row r="279" spans="1:11" ht="22" customHeight="1">
      <c r="A279" s="8"/>
      <c r="B279" s="8"/>
      <c r="C279" s="8"/>
      <c r="D279" s="8"/>
      <c r="E279" s="8"/>
      <c r="F279" s="9">
        <f>IF(E279="","",IFERROR(VLOOKUP(E279,Services!$A$2:$D$4,2,FALSE),"Service à corriger"))</f>
        <v/>
      </c>
      <c r="G279" s="8"/>
      <c r="H279" s="8"/>
      <c r="I279" s="8"/>
      <c r="J279" s="8"/>
      <c r="K279" s="9">
        <f>IF(A279="","",IF(COUNTIF($A$2:$A$301,A279)&gt;1,"DOUBLON",IF(OR(B279="",C279="",D279="",COUNTIF(ListeServices,E279)&lt;&gt;1,G279="",COUNTIF(ListeMessages,H279)&lt;&gt;1),"Saisie incomplète",IF(OR(AND(I279&lt;&gt;"",I279&lt;B279),AND(J279&lt;&gt;"",OR(I279="",J279&lt;I279)),B279&gt;Parametres!$B$7),"Dates à corriger",IF(AND(H279="Traité",OR(I279="",J279="")),"Dates manquantes",IF(AND(H279="Transmis",I279=""),"Transmission manquante",IF(AND(H279&lt;&gt;"Traité",Parametres!$B$7-B279&gt;1),"À relancer","OK")))))))</f>
        <v/>
      </c>
    </row>
    <row r="280" spans="1:11" ht="22" customHeight="1">
      <c r="A280" s="8"/>
      <c r="B280" s="8"/>
      <c r="C280" s="8"/>
      <c r="D280" s="8"/>
      <c r="E280" s="8"/>
      <c r="F280" s="9">
        <f>IF(E280="","",IFERROR(VLOOKUP(E280,Services!$A$2:$D$4,2,FALSE),"Service à corriger"))</f>
        <v/>
      </c>
      <c r="G280" s="8"/>
      <c r="H280" s="8"/>
      <c r="I280" s="8"/>
      <c r="J280" s="8"/>
      <c r="K280" s="9">
        <f>IF(A280="","",IF(COUNTIF($A$2:$A$301,A280)&gt;1,"DOUBLON",IF(OR(B280="",C280="",D280="",COUNTIF(ListeServices,E280)&lt;&gt;1,G280="",COUNTIF(ListeMessages,H280)&lt;&gt;1),"Saisie incomplète",IF(OR(AND(I280&lt;&gt;"",I280&lt;B280),AND(J280&lt;&gt;"",OR(I280="",J280&lt;I280)),B280&gt;Parametres!$B$7),"Dates à corriger",IF(AND(H280="Traité",OR(I280="",J280="")),"Dates manquantes",IF(AND(H280="Transmis",I280=""),"Transmission manquante",IF(AND(H280&lt;&gt;"Traité",Parametres!$B$7-B280&gt;1),"À relancer","OK")))))))</f>
        <v/>
      </c>
    </row>
    <row r="281" spans="1:11" ht="22" customHeight="1">
      <c r="A281" s="8"/>
      <c r="B281" s="8"/>
      <c r="C281" s="8"/>
      <c r="D281" s="8"/>
      <c r="E281" s="8"/>
      <c r="F281" s="9">
        <f>IF(E281="","",IFERROR(VLOOKUP(E281,Services!$A$2:$D$4,2,FALSE),"Service à corriger"))</f>
        <v/>
      </c>
      <c r="G281" s="8"/>
      <c r="H281" s="8"/>
      <c r="I281" s="8"/>
      <c r="J281" s="8"/>
      <c r="K281" s="9">
        <f>IF(A281="","",IF(COUNTIF($A$2:$A$301,A281)&gt;1,"DOUBLON",IF(OR(B281="",C281="",D281="",COUNTIF(ListeServices,E281)&lt;&gt;1,G281="",COUNTIF(ListeMessages,H281)&lt;&gt;1),"Saisie incomplète",IF(OR(AND(I281&lt;&gt;"",I281&lt;B281),AND(J281&lt;&gt;"",OR(I281="",J281&lt;I281)),B281&gt;Parametres!$B$7),"Dates à corriger",IF(AND(H281="Traité",OR(I281="",J281="")),"Dates manquantes",IF(AND(H281="Transmis",I281=""),"Transmission manquante",IF(AND(H281&lt;&gt;"Traité",Parametres!$B$7-B281&gt;1),"À relancer","OK")))))))</f>
        <v/>
      </c>
    </row>
    <row r="282" spans="1:11" ht="22" customHeight="1">
      <c r="A282" s="8"/>
      <c r="B282" s="8"/>
      <c r="C282" s="8"/>
      <c r="D282" s="8"/>
      <c r="E282" s="8"/>
      <c r="F282" s="9">
        <f>IF(E282="","",IFERROR(VLOOKUP(E282,Services!$A$2:$D$4,2,FALSE),"Service à corriger"))</f>
        <v/>
      </c>
      <c r="G282" s="8"/>
      <c r="H282" s="8"/>
      <c r="I282" s="8"/>
      <c r="J282" s="8"/>
      <c r="K282" s="9">
        <f>IF(A282="","",IF(COUNTIF($A$2:$A$301,A282)&gt;1,"DOUBLON",IF(OR(B282="",C282="",D282="",COUNTIF(ListeServices,E282)&lt;&gt;1,G282="",COUNTIF(ListeMessages,H282)&lt;&gt;1),"Saisie incomplète",IF(OR(AND(I282&lt;&gt;"",I282&lt;B282),AND(J282&lt;&gt;"",OR(I282="",J282&lt;I282)),B282&gt;Parametres!$B$7),"Dates à corriger",IF(AND(H282="Traité",OR(I282="",J282="")),"Dates manquantes",IF(AND(H282="Transmis",I282=""),"Transmission manquante",IF(AND(H282&lt;&gt;"Traité",Parametres!$B$7-B282&gt;1),"À relancer","OK")))))))</f>
        <v/>
      </c>
    </row>
    <row r="283" spans="1:11" ht="22" customHeight="1">
      <c r="A283" s="8"/>
      <c r="B283" s="8"/>
      <c r="C283" s="8"/>
      <c r="D283" s="8"/>
      <c r="E283" s="8"/>
      <c r="F283" s="9">
        <f>IF(E283="","",IFERROR(VLOOKUP(E283,Services!$A$2:$D$4,2,FALSE),"Service à corriger"))</f>
        <v/>
      </c>
      <c r="G283" s="8"/>
      <c r="H283" s="8"/>
      <c r="I283" s="8"/>
      <c r="J283" s="8"/>
      <c r="K283" s="9">
        <f>IF(A283="","",IF(COUNTIF($A$2:$A$301,A283)&gt;1,"DOUBLON",IF(OR(B283="",C283="",D283="",COUNTIF(ListeServices,E283)&lt;&gt;1,G283="",COUNTIF(ListeMessages,H283)&lt;&gt;1),"Saisie incomplète",IF(OR(AND(I283&lt;&gt;"",I283&lt;B283),AND(J283&lt;&gt;"",OR(I283="",J283&lt;I283)),B283&gt;Parametres!$B$7),"Dates à corriger",IF(AND(H283="Traité",OR(I283="",J283="")),"Dates manquantes",IF(AND(H283="Transmis",I283=""),"Transmission manquante",IF(AND(H283&lt;&gt;"Traité",Parametres!$B$7-B283&gt;1),"À relancer","OK")))))))</f>
        <v/>
      </c>
    </row>
    <row r="284" spans="1:11" ht="22" customHeight="1">
      <c r="A284" s="8"/>
      <c r="B284" s="8"/>
      <c r="C284" s="8"/>
      <c r="D284" s="8"/>
      <c r="E284" s="8"/>
      <c r="F284" s="9">
        <f>IF(E284="","",IFERROR(VLOOKUP(E284,Services!$A$2:$D$4,2,FALSE),"Service à corriger"))</f>
        <v/>
      </c>
      <c r="G284" s="8"/>
      <c r="H284" s="8"/>
      <c r="I284" s="8"/>
      <c r="J284" s="8"/>
      <c r="K284" s="9">
        <f>IF(A284="","",IF(COUNTIF($A$2:$A$301,A284)&gt;1,"DOUBLON",IF(OR(B284="",C284="",D284="",COUNTIF(ListeServices,E284)&lt;&gt;1,G284="",COUNTIF(ListeMessages,H284)&lt;&gt;1),"Saisie incomplète",IF(OR(AND(I284&lt;&gt;"",I284&lt;B284),AND(J284&lt;&gt;"",OR(I284="",J284&lt;I284)),B284&gt;Parametres!$B$7),"Dates à corriger",IF(AND(H284="Traité",OR(I284="",J284="")),"Dates manquantes",IF(AND(H284="Transmis",I284=""),"Transmission manquante",IF(AND(H284&lt;&gt;"Traité",Parametres!$B$7-B284&gt;1),"À relancer","OK")))))))</f>
        <v/>
      </c>
    </row>
    <row r="285" spans="1:11" ht="22" customHeight="1">
      <c r="A285" s="8"/>
      <c r="B285" s="8"/>
      <c r="C285" s="8"/>
      <c r="D285" s="8"/>
      <c r="E285" s="8"/>
      <c r="F285" s="9">
        <f>IF(E285="","",IFERROR(VLOOKUP(E285,Services!$A$2:$D$4,2,FALSE),"Service à corriger"))</f>
        <v/>
      </c>
      <c r="G285" s="8"/>
      <c r="H285" s="8"/>
      <c r="I285" s="8"/>
      <c r="J285" s="8"/>
      <c r="K285" s="9">
        <f>IF(A285="","",IF(COUNTIF($A$2:$A$301,A285)&gt;1,"DOUBLON",IF(OR(B285="",C285="",D285="",COUNTIF(ListeServices,E285)&lt;&gt;1,G285="",COUNTIF(ListeMessages,H285)&lt;&gt;1),"Saisie incomplète",IF(OR(AND(I285&lt;&gt;"",I285&lt;B285),AND(J285&lt;&gt;"",OR(I285="",J285&lt;I285)),B285&gt;Parametres!$B$7),"Dates à corriger",IF(AND(H285="Traité",OR(I285="",J285="")),"Dates manquantes",IF(AND(H285="Transmis",I285=""),"Transmission manquante",IF(AND(H285&lt;&gt;"Traité",Parametres!$B$7-B285&gt;1),"À relancer","OK")))))))</f>
        <v/>
      </c>
    </row>
    <row r="286" spans="1:11" ht="22" customHeight="1">
      <c r="A286" s="8"/>
      <c r="B286" s="8"/>
      <c r="C286" s="8"/>
      <c r="D286" s="8"/>
      <c r="E286" s="8"/>
      <c r="F286" s="9">
        <f>IF(E286="","",IFERROR(VLOOKUP(E286,Services!$A$2:$D$4,2,FALSE),"Service à corriger"))</f>
        <v/>
      </c>
      <c r="G286" s="8"/>
      <c r="H286" s="8"/>
      <c r="I286" s="8"/>
      <c r="J286" s="8"/>
      <c r="K286" s="9">
        <f>IF(A286="","",IF(COUNTIF($A$2:$A$301,A286)&gt;1,"DOUBLON",IF(OR(B286="",C286="",D286="",COUNTIF(ListeServices,E286)&lt;&gt;1,G286="",COUNTIF(ListeMessages,H286)&lt;&gt;1),"Saisie incomplète",IF(OR(AND(I286&lt;&gt;"",I286&lt;B286),AND(J286&lt;&gt;"",OR(I286="",J286&lt;I286)),B286&gt;Parametres!$B$7),"Dates à corriger",IF(AND(H286="Traité",OR(I286="",J286="")),"Dates manquantes",IF(AND(H286="Transmis",I286=""),"Transmission manquante",IF(AND(H286&lt;&gt;"Traité",Parametres!$B$7-B286&gt;1),"À relancer","OK")))))))</f>
        <v/>
      </c>
    </row>
    <row r="287" spans="1:11" ht="22" customHeight="1">
      <c r="A287" s="8"/>
      <c r="B287" s="8"/>
      <c r="C287" s="8"/>
      <c r="D287" s="8"/>
      <c r="E287" s="8"/>
      <c r="F287" s="9">
        <f>IF(E287="","",IFERROR(VLOOKUP(E287,Services!$A$2:$D$4,2,FALSE),"Service à corriger"))</f>
        <v/>
      </c>
      <c r="G287" s="8"/>
      <c r="H287" s="8"/>
      <c r="I287" s="8"/>
      <c r="J287" s="8"/>
      <c r="K287" s="9">
        <f>IF(A287="","",IF(COUNTIF($A$2:$A$301,A287)&gt;1,"DOUBLON",IF(OR(B287="",C287="",D287="",COUNTIF(ListeServices,E287)&lt;&gt;1,G287="",COUNTIF(ListeMessages,H287)&lt;&gt;1),"Saisie incomplète",IF(OR(AND(I287&lt;&gt;"",I287&lt;B287),AND(J287&lt;&gt;"",OR(I287="",J287&lt;I287)),B287&gt;Parametres!$B$7),"Dates à corriger",IF(AND(H287="Traité",OR(I287="",J287="")),"Dates manquantes",IF(AND(H287="Transmis",I287=""),"Transmission manquante",IF(AND(H287&lt;&gt;"Traité",Parametres!$B$7-B287&gt;1),"À relancer","OK")))))))</f>
        <v/>
      </c>
    </row>
    <row r="288" spans="1:11" ht="22" customHeight="1">
      <c r="A288" s="8"/>
      <c r="B288" s="8"/>
      <c r="C288" s="8"/>
      <c r="D288" s="8"/>
      <c r="E288" s="8"/>
      <c r="F288" s="9">
        <f>IF(E288="","",IFERROR(VLOOKUP(E288,Services!$A$2:$D$4,2,FALSE),"Service à corriger"))</f>
        <v/>
      </c>
      <c r="G288" s="8"/>
      <c r="H288" s="8"/>
      <c r="I288" s="8"/>
      <c r="J288" s="8"/>
      <c r="K288" s="9">
        <f>IF(A288="","",IF(COUNTIF($A$2:$A$301,A288)&gt;1,"DOUBLON",IF(OR(B288="",C288="",D288="",COUNTIF(ListeServices,E288)&lt;&gt;1,G288="",COUNTIF(ListeMessages,H288)&lt;&gt;1),"Saisie incomplète",IF(OR(AND(I288&lt;&gt;"",I288&lt;B288),AND(J288&lt;&gt;"",OR(I288="",J288&lt;I288)),B288&gt;Parametres!$B$7),"Dates à corriger",IF(AND(H288="Traité",OR(I288="",J288="")),"Dates manquantes",IF(AND(H288="Transmis",I288=""),"Transmission manquante",IF(AND(H288&lt;&gt;"Traité",Parametres!$B$7-B288&gt;1),"À relancer","OK")))))))</f>
        <v/>
      </c>
    </row>
    <row r="289" spans="1:11" ht="22" customHeight="1">
      <c r="A289" s="8"/>
      <c r="B289" s="8"/>
      <c r="C289" s="8"/>
      <c r="D289" s="8"/>
      <c r="E289" s="8"/>
      <c r="F289" s="9">
        <f>IF(E289="","",IFERROR(VLOOKUP(E289,Services!$A$2:$D$4,2,FALSE),"Service à corriger"))</f>
        <v/>
      </c>
      <c r="G289" s="8"/>
      <c r="H289" s="8"/>
      <c r="I289" s="8"/>
      <c r="J289" s="8"/>
      <c r="K289" s="9">
        <f>IF(A289="","",IF(COUNTIF($A$2:$A$301,A289)&gt;1,"DOUBLON",IF(OR(B289="",C289="",D289="",COUNTIF(ListeServices,E289)&lt;&gt;1,G289="",COUNTIF(ListeMessages,H289)&lt;&gt;1),"Saisie incomplète",IF(OR(AND(I289&lt;&gt;"",I289&lt;B289),AND(J289&lt;&gt;"",OR(I289="",J289&lt;I289)),B289&gt;Parametres!$B$7),"Dates à corriger",IF(AND(H289="Traité",OR(I289="",J289="")),"Dates manquantes",IF(AND(H289="Transmis",I289=""),"Transmission manquante",IF(AND(H289&lt;&gt;"Traité",Parametres!$B$7-B289&gt;1),"À relancer","OK")))))))</f>
        <v/>
      </c>
    </row>
    <row r="290" spans="1:11" ht="22" customHeight="1">
      <c r="A290" s="8"/>
      <c r="B290" s="8"/>
      <c r="C290" s="8"/>
      <c r="D290" s="8"/>
      <c r="E290" s="8"/>
      <c r="F290" s="9">
        <f>IF(E290="","",IFERROR(VLOOKUP(E290,Services!$A$2:$D$4,2,FALSE),"Service à corriger"))</f>
        <v/>
      </c>
      <c r="G290" s="8"/>
      <c r="H290" s="8"/>
      <c r="I290" s="8"/>
      <c r="J290" s="8"/>
      <c r="K290" s="9">
        <f>IF(A290="","",IF(COUNTIF($A$2:$A$301,A290)&gt;1,"DOUBLON",IF(OR(B290="",C290="",D290="",COUNTIF(ListeServices,E290)&lt;&gt;1,G290="",COUNTIF(ListeMessages,H290)&lt;&gt;1),"Saisie incomplète",IF(OR(AND(I290&lt;&gt;"",I290&lt;B290),AND(J290&lt;&gt;"",OR(I290="",J290&lt;I290)),B290&gt;Parametres!$B$7),"Dates à corriger",IF(AND(H290="Traité",OR(I290="",J290="")),"Dates manquantes",IF(AND(H290="Transmis",I290=""),"Transmission manquante",IF(AND(H290&lt;&gt;"Traité",Parametres!$B$7-B290&gt;1),"À relancer","OK")))))))</f>
        <v/>
      </c>
    </row>
    <row r="291" spans="1:11" ht="22" customHeight="1">
      <c r="A291" s="8"/>
      <c r="B291" s="8"/>
      <c r="C291" s="8"/>
      <c r="D291" s="8"/>
      <c r="E291" s="8"/>
      <c r="F291" s="9">
        <f>IF(E291="","",IFERROR(VLOOKUP(E291,Services!$A$2:$D$4,2,FALSE),"Service à corriger"))</f>
        <v/>
      </c>
      <c r="G291" s="8"/>
      <c r="H291" s="8"/>
      <c r="I291" s="8"/>
      <c r="J291" s="8"/>
      <c r="K291" s="9">
        <f>IF(A291="","",IF(COUNTIF($A$2:$A$301,A291)&gt;1,"DOUBLON",IF(OR(B291="",C291="",D291="",COUNTIF(ListeServices,E291)&lt;&gt;1,G291="",COUNTIF(ListeMessages,H291)&lt;&gt;1),"Saisie incomplète",IF(OR(AND(I291&lt;&gt;"",I291&lt;B291),AND(J291&lt;&gt;"",OR(I291="",J291&lt;I291)),B291&gt;Parametres!$B$7),"Dates à corriger",IF(AND(H291="Traité",OR(I291="",J291="")),"Dates manquantes",IF(AND(H291="Transmis",I291=""),"Transmission manquante",IF(AND(H291&lt;&gt;"Traité",Parametres!$B$7-B291&gt;1),"À relancer","OK")))))))</f>
        <v/>
      </c>
    </row>
    <row r="292" spans="1:11" ht="22" customHeight="1">
      <c r="A292" s="8"/>
      <c r="B292" s="8"/>
      <c r="C292" s="8"/>
      <c r="D292" s="8"/>
      <c r="E292" s="8"/>
      <c r="F292" s="9">
        <f>IF(E292="","",IFERROR(VLOOKUP(E292,Services!$A$2:$D$4,2,FALSE),"Service à corriger"))</f>
        <v/>
      </c>
      <c r="G292" s="8"/>
      <c r="H292" s="8"/>
      <c r="I292" s="8"/>
      <c r="J292" s="8"/>
      <c r="K292" s="9">
        <f>IF(A292="","",IF(COUNTIF($A$2:$A$301,A292)&gt;1,"DOUBLON",IF(OR(B292="",C292="",D292="",COUNTIF(ListeServices,E292)&lt;&gt;1,G292="",COUNTIF(ListeMessages,H292)&lt;&gt;1),"Saisie incomplète",IF(OR(AND(I292&lt;&gt;"",I292&lt;B292),AND(J292&lt;&gt;"",OR(I292="",J292&lt;I292)),B292&gt;Parametres!$B$7),"Dates à corriger",IF(AND(H292="Traité",OR(I292="",J292="")),"Dates manquantes",IF(AND(H292="Transmis",I292=""),"Transmission manquante",IF(AND(H292&lt;&gt;"Traité",Parametres!$B$7-B292&gt;1),"À relancer","OK")))))))</f>
        <v/>
      </c>
    </row>
    <row r="293" spans="1:11" ht="22" customHeight="1">
      <c r="A293" s="8"/>
      <c r="B293" s="8"/>
      <c r="C293" s="8"/>
      <c r="D293" s="8"/>
      <c r="E293" s="8"/>
      <c r="F293" s="9">
        <f>IF(E293="","",IFERROR(VLOOKUP(E293,Services!$A$2:$D$4,2,FALSE),"Service à corriger"))</f>
        <v/>
      </c>
      <c r="G293" s="8"/>
      <c r="H293" s="8"/>
      <c r="I293" s="8"/>
      <c r="J293" s="8"/>
      <c r="K293" s="9">
        <f>IF(A293="","",IF(COUNTIF($A$2:$A$301,A293)&gt;1,"DOUBLON",IF(OR(B293="",C293="",D293="",COUNTIF(ListeServices,E293)&lt;&gt;1,G293="",COUNTIF(ListeMessages,H293)&lt;&gt;1),"Saisie incomplète",IF(OR(AND(I293&lt;&gt;"",I293&lt;B293),AND(J293&lt;&gt;"",OR(I293="",J293&lt;I293)),B293&gt;Parametres!$B$7),"Dates à corriger",IF(AND(H293="Traité",OR(I293="",J293="")),"Dates manquantes",IF(AND(H293="Transmis",I293=""),"Transmission manquante",IF(AND(H293&lt;&gt;"Traité",Parametres!$B$7-B293&gt;1),"À relancer","OK")))))))</f>
        <v/>
      </c>
    </row>
    <row r="294" spans="1:11" ht="22" customHeight="1">
      <c r="A294" s="8"/>
      <c r="B294" s="8"/>
      <c r="C294" s="8"/>
      <c r="D294" s="8"/>
      <c r="E294" s="8"/>
      <c r="F294" s="9">
        <f>IF(E294="","",IFERROR(VLOOKUP(E294,Services!$A$2:$D$4,2,FALSE),"Service à corriger"))</f>
        <v/>
      </c>
      <c r="G294" s="8"/>
      <c r="H294" s="8"/>
      <c r="I294" s="8"/>
      <c r="J294" s="8"/>
      <c r="K294" s="9">
        <f>IF(A294="","",IF(COUNTIF($A$2:$A$301,A294)&gt;1,"DOUBLON",IF(OR(B294="",C294="",D294="",COUNTIF(ListeServices,E294)&lt;&gt;1,G294="",COUNTIF(ListeMessages,H294)&lt;&gt;1),"Saisie incomplète",IF(OR(AND(I294&lt;&gt;"",I294&lt;B294),AND(J294&lt;&gt;"",OR(I294="",J294&lt;I294)),B294&gt;Parametres!$B$7),"Dates à corriger",IF(AND(H294="Traité",OR(I294="",J294="")),"Dates manquantes",IF(AND(H294="Transmis",I294=""),"Transmission manquante",IF(AND(H294&lt;&gt;"Traité",Parametres!$B$7-B294&gt;1),"À relancer","OK")))))))</f>
        <v/>
      </c>
    </row>
    <row r="295" spans="1:11" ht="22" customHeight="1">
      <c r="A295" s="8"/>
      <c r="B295" s="8"/>
      <c r="C295" s="8"/>
      <c r="D295" s="8"/>
      <c r="E295" s="8"/>
      <c r="F295" s="9">
        <f>IF(E295="","",IFERROR(VLOOKUP(E295,Services!$A$2:$D$4,2,FALSE),"Service à corriger"))</f>
        <v/>
      </c>
      <c r="G295" s="8"/>
      <c r="H295" s="8"/>
      <c r="I295" s="8"/>
      <c r="J295" s="8"/>
      <c r="K295" s="9">
        <f>IF(A295="","",IF(COUNTIF($A$2:$A$301,A295)&gt;1,"DOUBLON",IF(OR(B295="",C295="",D295="",COUNTIF(ListeServices,E295)&lt;&gt;1,G295="",COUNTIF(ListeMessages,H295)&lt;&gt;1),"Saisie incomplète",IF(OR(AND(I295&lt;&gt;"",I295&lt;B295),AND(J295&lt;&gt;"",OR(I295="",J295&lt;I295)),B295&gt;Parametres!$B$7),"Dates à corriger",IF(AND(H295="Traité",OR(I295="",J295="")),"Dates manquantes",IF(AND(H295="Transmis",I295=""),"Transmission manquante",IF(AND(H295&lt;&gt;"Traité",Parametres!$B$7-B295&gt;1),"À relancer","OK")))))))</f>
        <v/>
      </c>
    </row>
    <row r="296" spans="1:11" ht="22" customHeight="1">
      <c r="A296" s="8"/>
      <c r="B296" s="8"/>
      <c r="C296" s="8"/>
      <c r="D296" s="8"/>
      <c r="E296" s="8"/>
      <c r="F296" s="9">
        <f>IF(E296="","",IFERROR(VLOOKUP(E296,Services!$A$2:$D$4,2,FALSE),"Service à corriger"))</f>
        <v/>
      </c>
      <c r="G296" s="8"/>
      <c r="H296" s="8"/>
      <c r="I296" s="8"/>
      <c r="J296" s="8"/>
      <c r="K296" s="9">
        <f>IF(A296="","",IF(COUNTIF($A$2:$A$301,A296)&gt;1,"DOUBLON",IF(OR(B296="",C296="",D296="",COUNTIF(ListeServices,E296)&lt;&gt;1,G296="",COUNTIF(ListeMessages,H296)&lt;&gt;1),"Saisie incomplète",IF(OR(AND(I296&lt;&gt;"",I296&lt;B296),AND(J296&lt;&gt;"",OR(I296="",J296&lt;I296)),B296&gt;Parametres!$B$7),"Dates à corriger",IF(AND(H296="Traité",OR(I296="",J296="")),"Dates manquantes",IF(AND(H296="Transmis",I296=""),"Transmission manquante",IF(AND(H296&lt;&gt;"Traité",Parametres!$B$7-B296&gt;1),"À relancer","OK")))))))</f>
        <v/>
      </c>
    </row>
    <row r="297" spans="1:11" ht="22" customHeight="1">
      <c r="A297" s="8"/>
      <c r="B297" s="8"/>
      <c r="C297" s="8"/>
      <c r="D297" s="8"/>
      <c r="E297" s="8"/>
      <c r="F297" s="9">
        <f>IF(E297="","",IFERROR(VLOOKUP(E297,Services!$A$2:$D$4,2,FALSE),"Service à corriger"))</f>
        <v/>
      </c>
      <c r="G297" s="8"/>
      <c r="H297" s="8"/>
      <c r="I297" s="8"/>
      <c r="J297" s="8"/>
      <c r="K297" s="9">
        <f>IF(A297="","",IF(COUNTIF($A$2:$A$301,A297)&gt;1,"DOUBLON",IF(OR(B297="",C297="",D297="",COUNTIF(ListeServices,E297)&lt;&gt;1,G297="",COUNTIF(ListeMessages,H297)&lt;&gt;1),"Saisie incomplète",IF(OR(AND(I297&lt;&gt;"",I297&lt;B297),AND(J297&lt;&gt;"",OR(I297="",J297&lt;I297)),B297&gt;Parametres!$B$7),"Dates à corriger",IF(AND(H297="Traité",OR(I297="",J297="")),"Dates manquantes",IF(AND(H297="Transmis",I297=""),"Transmission manquante",IF(AND(H297&lt;&gt;"Traité",Parametres!$B$7-B297&gt;1),"À relancer","OK")))))))</f>
        <v/>
      </c>
    </row>
    <row r="298" spans="1:11" ht="22" customHeight="1">
      <c r="A298" s="8"/>
      <c r="B298" s="8"/>
      <c r="C298" s="8"/>
      <c r="D298" s="8"/>
      <c r="E298" s="8"/>
      <c r="F298" s="9">
        <f>IF(E298="","",IFERROR(VLOOKUP(E298,Services!$A$2:$D$4,2,FALSE),"Service à corriger"))</f>
        <v/>
      </c>
      <c r="G298" s="8"/>
      <c r="H298" s="8"/>
      <c r="I298" s="8"/>
      <c r="J298" s="8"/>
      <c r="K298" s="9">
        <f>IF(A298="","",IF(COUNTIF($A$2:$A$301,A298)&gt;1,"DOUBLON",IF(OR(B298="",C298="",D298="",COUNTIF(ListeServices,E298)&lt;&gt;1,G298="",COUNTIF(ListeMessages,H298)&lt;&gt;1),"Saisie incomplète",IF(OR(AND(I298&lt;&gt;"",I298&lt;B298),AND(J298&lt;&gt;"",OR(I298="",J298&lt;I298)),B298&gt;Parametres!$B$7),"Dates à corriger",IF(AND(H298="Traité",OR(I298="",J298="")),"Dates manquantes",IF(AND(H298="Transmis",I298=""),"Transmission manquante",IF(AND(H298&lt;&gt;"Traité",Parametres!$B$7-B298&gt;1),"À relancer","OK")))))))</f>
        <v/>
      </c>
    </row>
    <row r="299" spans="1:11" ht="22" customHeight="1">
      <c r="A299" s="8"/>
      <c r="B299" s="8"/>
      <c r="C299" s="8"/>
      <c r="D299" s="8"/>
      <c r="E299" s="8"/>
      <c r="F299" s="9">
        <f>IF(E299="","",IFERROR(VLOOKUP(E299,Services!$A$2:$D$4,2,FALSE),"Service à corriger"))</f>
        <v/>
      </c>
      <c r="G299" s="8"/>
      <c r="H299" s="8"/>
      <c r="I299" s="8"/>
      <c r="J299" s="8"/>
      <c r="K299" s="9">
        <f>IF(A299="","",IF(COUNTIF($A$2:$A$301,A299)&gt;1,"DOUBLON",IF(OR(B299="",C299="",D299="",COUNTIF(ListeServices,E299)&lt;&gt;1,G299="",COUNTIF(ListeMessages,H299)&lt;&gt;1),"Saisie incomplète",IF(OR(AND(I299&lt;&gt;"",I299&lt;B299),AND(J299&lt;&gt;"",OR(I299="",J299&lt;I299)),B299&gt;Parametres!$B$7),"Dates à corriger",IF(AND(H299="Traité",OR(I299="",J299="")),"Dates manquantes",IF(AND(H299="Transmis",I299=""),"Transmission manquante",IF(AND(H299&lt;&gt;"Traité",Parametres!$B$7-B299&gt;1),"À relancer","OK")))))))</f>
        <v/>
      </c>
    </row>
    <row r="300" spans="1:11" ht="22" customHeight="1">
      <c r="A300" s="8"/>
      <c r="B300" s="8"/>
      <c r="C300" s="8"/>
      <c r="D300" s="8"/>
      <c r="E300" s="8"/>
      <c r="F300" s="9">
        <f>IF(E300="","",IFERROR(VLOOKUP(E300,Services!$A$2:$D$4,2,FALSE),"Service à corriger"))</f>
        <v/>
      </c>
      <c r="G300" s="8"/>
      <c r="H300" s="8"/>
      <c r="I300" s="8"/>
      <c r="J300" s="8"/>
      <c r="K300" s="9">
        <f>IF(A300="","",IF(COUNTIF($A$2:$A$301,A300)&gt;1,"DOUBLON",IF(OR(B300="",C300="",D300="",COUNTIF(ListeServices,E300)&lt;&gt;1,G300="",COUNTIF(ListeMessages,H300)&lt;&gt;1),"Saisie incomplète",IF(OR(AND(I300&lt;&gt;"",I300&lt;B300),AND(J300&lt;&gt;"",OR(I300="",J300&lt;I300)),B300&gt;Parametres!$B$7),"Dates à corriger",IF(AND(H300="Traité",OR(I300="",J300="")),"Dates manquantes",IF(AND(H300="Transmis",I300=""),"Transmission manquante",IF(AND(H300&lt;&gt;"Traité",Parametres!$B$7-B300&gt;1),"À relancer","OK")))))))</f>
        <v/>
      </c>
    </row>
    <row r="301" spans="1:11" ht="22" customHeight="1">
      <c r="A301" s="8"/>
      <c r="B301" s="8"/>
      <c r="C301" s="8"/>
      <c r="D301" s="8"/>
      <c r="E301" s="8"/>
      <c r="F301" s="9">
        <f>IF(E301="","",IFERROR(VLOOKUP(E301,Services!$A$2:$D$4,2,FALSE),"Service à corriger"))</f>
        <v/>
      </c>
      <c r="G301" s="8"/>
      <c r="H301" s="8"/>
      <c r="I301" s="8"/>
      <c r="J301" s="8"/>
      <c r="K301" s="9">
        <f>IF(A301="","",IF(COUNTIF($A$2:$A$301,A301)&gt;1,"DOUBLON",IF(OR(B301="",C301="",D301="",COUNTIF(ListeServices,E301)&lt;&gt;1,G301="",COUNTIF(ListeMessages,H301)&lt;&gt;1),"Saisie incomplète",IF(OR(AND(I301&lt;&gt;"",I301&lt;B301),AND(J301&lt;&gt;"",OR(I301="",J301&lt;I301)),B301&gt;Parametres!$B$7),"Dates à corriger",IF(AND(H301="Traité",OR(I301="",J301="")),"Dates manquantes",IF(AND(H301="Transmis",I301=""),"Transmission manquante",IF(AND(H301&lt;&gt;"Traité",Parametres!$B$7-B301&gt;1),"À relancer","OK")))))))</f>
        <v/>
      </c>
    </row>
  </sheetData>
  <sheetProtection sheet="1" objects="1" scenarios="1" sort="0" autoFilter="0"/>
  <autoFilter ref="A1:K301"/>
  <conditionalFormatting sqref="A2:K301">
    <cfRule type="expression" dxfId="0" priority="1">
      <formula>AND($A2&lt;&gt;"",$K2&lt;&gt;"OK")</formula>
    </cfRule>
  </conditionalFormatting>
  <dataValidations count="5">
    <dataValidation type="list" allowBlank="1" showInputMessage="1" showErrorMessage="1" errorTitle="Valeur à corriger" error="Utilisez une valeur autorisée; consultez le guide." sqref="E2:E301">
      <formula1>ListeServices</formula1>
    </dataValidation>
    <dataValidation type="list" allowBlank="1" showInputMessage="1" showErrorMessage="1" errorTitle="Valeur à corriger" error="Utilisez une valeur autorisée; consultez le guide." sqref="H2:H301">
      <formula1>ListeMessages</formula1>
    </dataValidation>
    <dataValidation type="custom" allowBlank="1" showInputMessage="1" showErrorMessage="1" errorTitle="Valeur à corriger" error="Utilisez une valeur autorisée; consultez le guide." sqref="A2:A301">
      <formula1>OR(A2="",COUNTIF($A$2:$A$301,A2)=1)</formula1>
    </dataValidation>
    <dataValidation type="date" allowBlank="1" showInputMessage="1" showErrorMessage="1" errorTitle="Valeur à corriger" error="Utilisez une valeur autorisée; consultez le guide." sqref="B2:B301">
      <formula1>43831</formula1>
      <formula2>51501</formula2>
    </dataValidation>
    <dataValidation type="date" allowBlank="1" showInputMessage="1" showErrorMessage="1" errorTitle="Valeur à corriger" error="Utilisez une valeur autorisée; consultez le guide." sqref="I2:J301">
      <formula1>43831</formula1>
      <formula2>51501</formula2>
    </dataValidation>
  </dataValidations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2"/>
  <sheetViews>
    <sheetView showGridLines="0" workbookViewId="0"/>
  </sheetViews>
  <sheetFormatPr defaultRowHeight="22" customHeight="1"/>
  <cols>
    <col min="1" max="1" width="20.7109375" customWidth="1"/>
    <col min="2" max="8" width="18.7109375" customWidth="1"/>
  </cols>
  <sheetData>
    <row r="1" spans="1:22" ht="22" customHeight="1">
      <c r="A1" s="1" t="s">
        <v>197</v>
      </c>
      <c r="B1" s="1"/>
      <c r="C1" s="1"/>
      <c r="D1" s="1"/>
      <c r="E1" s="1"/>
      <c r="F1" s="1"/>
      <c r="G1" s="1"/>
      <c r="H1" s="1"/>
      <c r="V1" s="3" t="s">
        <v>281</v>
      </c>
    </row>
    <row r="2" spans="1:22" ht="22" customHeight="1">
      <c r="A2" s="2" t="s">
        <v>198</v>
      </c>
      <c r="B2" s="2"/>
      <c r="C2" s="2"/>
      <c r="D2" s="2"/>
      <c r="E2" s="2"/>
      <c r="F2" s="2"/>
      <c r="G2" s="2"/>
      <c r="H2" s="2"/>
    </row>
    <row r="3" spans="1:22" ht="22" customHeight="1">
      <c r="A3" s="5" t="s">
        <v>199</v>
      </c>
      <c r="B3" s="9">
        <f>Parametres!B6</f>
        <v>2026</v>
      </c>
      <c r="D3" s="5" t="s">
        <v>200</v>
      </c>
      <c r="E3" s="14">
        <f>Parametres!B8</f>
        <v>46266</v>
      </c>
    </row>
    <row r="5" spans="1:22" ht="22" customHeight="1">
      <c r="A5" s="5" t="s">
        <v>201</v>
      </c>
      <c r="B5" s="5" t="s">
        <v>202</v>
      </c>
      <c r="C5" s="5" t="s">
        <v>203</v>
      </c>
      <c r="D5" s="5" t="s">
        <v>204</v>
      </c>
      <c r="E5" s="5" t="s">
        <v>205</v>
      </c>
      <c r="F5" s="5" t="s">
        <v>206</v>
      </c>
      <c r="G5" s="5" t="s">
        <v>133</v>
      </c>
      <c r="H5" s="5" t="s">
        <v>207</v>
      </c>
    </row>
    <row r="6" spans="1:22" ht="22" customHeight="1">
      <c r="A6" s="14">
        <f>DATE(Parametres!$B$6,1,1)</f>
        <v>46023</v>
      </c>
      <c r="B6" s="13">
        <f>SUMIFS(RendezVous!$R$2:$R$301,RendezVous!$B$2:$B$301,"&gt;="&amp;$A6,RendezVous!$B$2:$B$301,"&lt;"&amp;DATE(YEAR($A6),MONTH($A6)+1,1),RendezVous!$E$2:$E$301,"Juridique")</f>
        <v>0</v>
      </c>
      <c r="C6" s="13">
        <f>SUMIFS(RendezVous!$R$2:$R$301,RendezVous!$B$2:$B$301,"&gt;="&amp;$A6,RendezVous!$B$2:$B$301,"&lt;"&amp;DATE(YEAR($A6),MONTH($A6)+1,1),RendezVous!$E$2:$E$301,"Psychologie")</f>
        <v>0</v>
      </c>
      <c r="D6" s="13">
        <f>SUMIFS(RendezVous!$R$2:$R$301,RendezVous!$B$2:$B$301,"&gt;="&amp;$A6,RendezVous!$B$2:$B$301,"&lt;"&amp;DATE(YEAR($A6),MONTH($A6)+1,1),RendezVous!$E$2:$E$301,"Sexologie")</f>
        <v>0</v>
      </c>
      <c r="E6" s="13">
        <f>SUM(B6:D6)</f>
        <v>0</v>
      </c>
      <c r="F6" s="11">
        <f>SUMIFS(RendezVous!$M$2:$M$301,RendezVous!$B$2:$B$301,"&gt;="&amp;$A6,RendezVous!$B$2:$B$301,"&lt;"&amp;DATE(YEAR($A6),MONTH($A6)+1,1))</f>
        <v>0.0</v>
      </c>
      <c r="G6" s="11">
        <f>SUMIFS(RendezVous!$N$2:$N$301,RendezVous!$B$2:$B$301,"&gt;="&amp;$A6,RendezVous!$B$2:$B$301,"&lt;"&amp;DATE(YEAR($A6),MONTH($A6)+1,1))</f>
        <v>0.0</v>
      </c>
      <c r="H6" s="11">
        <f>SUMIFS(RendezVous!$O$2:$O$301,RendezVous!$B$2:$B$301,"&gt;="&amp;$A6,RendezVous!$B$2:$B$301,"&lt;"&amp;DATE(YEAR($A6),MONTH($A6)+1,1))</f>
        <v>0.0</v>
      </c>
    </row>
    <row r="7" spans="1:22" ht="22" customHeight="1">
      <c r="A7" s="14">
        <f>DATE(Parametres!$B$6,2,1)</f>
        <v>46054</v>
      </c>
      <c r="B7" s="13">
        <f>SUMIFS(RendezVous!$R$2:$R$301,RendezVous!$B$2:$B$301,"&gt;="&amp;$A7,RendezVous!$B$2:$B$301,"&lt;"&amp;DATE(YEAR($A7),MONTH($A7)+1,1),RendezVous!$E$2:$E$301,"Juridique")</f>
        <v>0</v>
      </c>
      <c r="C7" s="13">
        <f>SUMIFS(RendezVous!$R$2:$R$301,RendezVous!$B$2:$B$301,"&gt;="&amp;$A7,RendezVous!$B$2:$B$301,"&lt;"&amp;DATE(YEAR($A7),MONTH($A7)+1,1),RendezVous!$E$2:$E$301,"Psychologie")</f>
        <v>0</v>
      </c>
      <c r="D7" s="13">
        <f>SUMIFS(RendezVous!$R$2:$R$301,RendezVous!$B$2:$B$301,"&gt;="&amp;$A7,RendezVous!$B$2:$B$301,"&lt;"&amp;DATE(YEAR($A7),MONTH($A7)+1,1),RendezVous!$E$2:$E$301,"Sexologie")</f>
        <v>0</v>
      </c>
      <c r="E7" s="13">
        <f>SUM(B7:D7)</f>
        <v>0</v>
      </c>
      <c r="F7" s="11">
        <f>SUMIFS(RendezVous!$M$2:$M$301,RendezVous!$B$2:$B$301,"&gt;="&amp;$A7,RendezVous!$B$2:$B$301,"&lt;"&amp;DATE(YEAR($A7),MONTH($A7)+1,1))</f>
        <v>0.0</v>
      </c>
      <c r="G7" s="11">
        <f>SUMIFS(RendezVous!$N$2:$N$301,RendezVous!$B$2:$B$301,"&gt;="&amp;$A7,RendezVous!$B$2:$B$301,"&lt;"&amp;DATE(YEAR($A7),MONTH($A7)+1,1))</f>
        <v>0.0</v>
      </c>
      <c r="H7" s="11">
        <f>SUMIFS(RendezVous!$O$2:$O$301,RendezVous!$B$2:$B$301,"&gt;="&amp;$A7,RendezVous!$B$2:$B$301,"&lt;"&amp;DATE(YEAR($A7),MONTH($A7)+1,1))</f>
        <v>0.0</v>
      </c>
    </row>
    <row r="8" spans="1:22" ht="22" customHeight="1">
      <c r="A8" s="14">
        <f>DATE(Parametres!$B$6,3,1)</f>
        <v>46082</v>
      </c>
      <c r="B8" s="13">
        <f>SUMIFS(RendezVous!$R$2:$R$301,RendezVous!$B$2:$B$301,"&gt;="&amp;$A8,RendezVous!$B$2:$B$301,"&lt;"&amp;DATE(YEAR($A8),MONTH($A8)+1,1),RendezVous!$E$2:$E$301,"Juridique")</f>
        <v>0</v>
      </c>
      <c r="C8" s="13">
        <f>SUMIFS(RendezVous!$R$2:$R$301,RendezVous!$B$2:$B$301,"&gt;="&amp;$A8,RendezVous!$B$2:$B$301,"&lt;"&amp;DATE(YEAR($A8),MONTH($A8)+1,1),RendezVous!$E$2:$E$301,"Psychologie")</f>
        <v>0</v>
      </c>
      <c r="D8" s="13">
        <f>SUMIFS(RendezVous!$R$2:$R$301,RendezVous!$B$2:$B$301,"&gt;="&amp;$A8,RendezVous!$B$2:$B$301,"&lt;"&amp;DATE(YEAR($A8),MONTH($A8)+1,1),RendezVous!$E$2:$E$301,"Sexologie")</f>
        <v>0</v>
      </c>
      <c r="E8" s="13">
        <f>SUM(B8:D8)</f>
        <v>0</v>
      </c>
      <c r="F8" s="11">
        <f>SUMIFS(RendezVous!$M$2:$M$301,RendezVous!$B$2:$B$301,"&gt;="&amp;$A8,RendezVous!$B$2:$B$301,"&lt;"&amp;DATE(YEAR($A8),MONTH($A8)+1,1))</f>
        <v>0.0</v>
      </c>
      <c r="G8" s="11">
        <f>SUMIFS(RendezVous!$N$2:$N$301,RendezVous!$B$2:$B$301,"&gt;="&amp;$A8,RendezVous!$B$2:$B$301,"&lt;"&amp;DATE(YEAR($A8),MONTH($A8)+1,1))</f>
        <v>0.0</v>
      </c>
      <c r="H8" s="11">
        <f>SUMIFS(RendezVous!$O$2:$O$301,RendezVous!$B$2:$B$301,"&gt;="&amp;$A8,RendezVous!$B$2:$B$301,"&lt;"&amp;DATE(YEAR($A8),MONTH($A8)+1,1))</f>
        <v>0.0</v>
      </c>
    </row>
    <row r="9" spans="1:22" ht="22" customHeight="1">
      <c r="A9" s="14">
        <f>DATE(Parametres!$B$6,4,1)</f>
        <v>46113</v>
      </c>
      <c r="B9" s="13">
        <f>SUMIFS(RendezVous!$R$2:$R$301,RendezVous!$B$2:$B$301,"&gt;="&amp;$A9,RendezVous!$B$2:$B$301,"&lt;"&amp;DATE(YEAR($A9),MONTH($A9)+1,1),RendezVous!$E$2:$E$301,"Juridique")</f>
        <v>0</v>
      </c>
      <c r="C9" s="13">
        <f>SUMIFS(RendezVous!$R$2:$R$301,RendezVous!$B$2:$B$301,"&gt;="&amp;$A9,RendezVous!$B$2:$B$301,"&lt;"&amp;DATE(YEAR($A9),MONTH($A9)+1,1),RendezVous!$E$2:$E$301,"Psychologie")</f>
        <v>1</v>
      </c>
      <c r="D9" s="13">
        <f>SUMIFS(RendezVous!$R$2:$R$301,RendezVous!$B$2:$B$301,"&gt;="&amp;$A9,RendezVous!$B$2:$B$301,"&lt;"&amp;DATE(YEAR($A9),MONTH($A9)+1,1),RendezVous!$E$2:$E$301,"Sexologie")</f>
        <v>1</v>
      </c>
      <c r="E9" s="13">
        <f>SUM(B9:D9)</f>
        <v>2</v>
      </c>
      <c r="F9" s="11">
        <f>SUMIFS(RendezVous!$M$2:$M$301,RendezVous!$B$2:$B$301,"&gt;="&amp;$A9,RendezVous!$B$2:$B$301,"&lt;"&amp;DATE(YEAR($A9),MONTH($A9)+1,1))</f>
        <v>220.0</v>
      </c>
      <c r="G9" s="11">
        <f>SUMIFS(RendezVous!$N$2:$N$301,RendezVous!$B$2:$B$301,"&gt;="&amp;$A9,RendezVous!$B$2:$B$301,"&lt;"&amp;DATE(YEAR($A9),MONTH($A9)+1,1))</f>
        <v>0.0</v>
      </c>
      <c r="H9" s="11">
        <f>SUMIFS(RendezVous!$O$2:$O$301,RendezVous!$B$2:$B$301,"&gt;="&amp;$A9,RendezVous!$B$2:$B$301,"&lt;"&amp;DATE(YEAR($A9),MONTH($A9)+1,1))</f>
        <v>220.0</v>
      </c>
    </row>
    <row r="10" spans="1:22" ht="22" customHeight="1">
      <c r="A10" s="14">
        <f>DATE(Parametres!$B$6,5,1)</f>
        <v>46143</v>
      </c>
      <c r="B10" s="13">
        <f>SUMIFS(RendezVous!$R$2:$R$301,RendezVous!$B$2:$B$301,"&gt;="&amp;$A10,RendezVous!$B$2:$B$301,"&lt;"&amp;DATE(YEAR($A10),MONTH($A10)+1,1),RendezVous!$E$2:$E$301,"Juridique")</f>
        <v>0</v>
      </c>
      <c r="C10" s="13">
        <f>SUMIFS(RendezVous!$R$2:$R$301,RendezVous!$B$2:$B$301,"&gt;="&amp;$A10,RendezVous!$B$2:$B$301,"&lt;"&amp;DATE(YEAR($A10),MONTH($A10)+1,1),RendezVous!$E$2:$E$301,"Psychologie")</f>
        <v>0</v>
      </c>
      <c r="D10" s="13">
        <f>SUMIFS(RendezVous!$R$2:$R$301,RendezVous!$B$2:$B$301,"&gt;="&amp;$A10,RendezVous!$B$2:$B$301,"&lt;"&amp;DATE(YEAR($A10),MONTH($A10)+1,1),RendezVous!$E$2:$E$301,"Sexologie")</f>
        <v>1</v>
      </c>
      <c r="E10" s="13">
        <f>SUM(B10:D10)</f>
        <v>1</v>
      </c>
      <c r="F10" s="11">
        <f>SUMIFS(RendezVous!$M$2:$M$301,RendezVous!$B$2:$B$301,"&gt;="&amp;$A10,RendezVous!$B$2:$B$301,"&lt;"&amp;DATE(YEAR($A10),MONTH($A10)+1,1))</f>
        <v>100.0</v>
      </c>
      <c r="G10" s="11">
        <f>SUMIFS(RendezVous!$N$2:$N$301,RendezVous!$B$2:$B$301,"&gt;="&amp;$A10,RendezVous!$B$2:$B$301,"&lt;"&amp;DATE(YEAR($A10),MONTH($A10)+1,1))</f>
        <v>0.0</v>
      </c>
      <c r="H10" s="11">
        <f>SUMIFS(RendezVous!$O$2:$O$301,RendezVous!$B$2:$B$301,"&gt;="&amp;$A10,RendezVous!$B$2:$B$301,"&lt;"&amp;DATE(YEAR($A10),MONTH($A10)+1,1))</f>
        <v>100.0</v>
      </c>
    </row>
    <row r="11" spans="1:22" ht="22" customHeight="1">
      <c r="A11" s="14">
        <f>DATE(Parametres!$B$6,6,1)</f>
        <v>46174</v>
      </c>
      <c r="B11" s="13">
        <f>SUMIFS(RendezVous!$R$2:$R$301,RendezVous!$B$2:$B$301,"&gt;="&amp;$A11,RendezVous!$B$2:$B$301,"&lt;"&amp;DATE(YEAR($A11),MONTH($A11)+1,1),RendezVous!$E$2:$E$301,"Juridique")</f>
        <v>0</v>
      </c>
      <c r="C11" s="13">
        <f>SUMIFS(RendezVous!$R$2:$R$301,RendezVous!$B$2:$B$301,"&gt;="&amp;$A11,RendezVous!$B$2:$B$301,"&lt;"&amp;DATE(YEAR($A11),MONTH($A11)+1,1),RendezVous!$E$2:$E$301,"Psychologie")</f>
        <v>1</v>
      </c>
      <c r="D11" s="13">
        <f>SUMIFS(RendezVous!$R$2:$R$301,RendezVous!$B$2:$B$301,"&gt;="&amp;$A11,RendezVous!$B$2:$B$301,"&lt;"&amp;DATE(YEAR($A11),MONTH($A11)+1,1),RendezVous!$E$2:$E$301,"Sexologie")</f>
        <v>0</v>
      </c>
      <c r="E11" s="13">
        <f>SUM(B11:D11)</f>
        <v>1</v>
      </c>
      <c r="F11" s="11">
        <f>SUMIFS(RendezVous!$M$2:$M$301,RendezVous!$B$2:$B$301,"&gt;="&amp;$A11,RendezVous!$B$2:$B$301,"&lt;"&amp;DATE(YEAR($A11),MONTH($A11)+1,1))</f>
        <v>120.0</v>
      </c>
      <c r="G11" s="11">
        <f>SUMIFS(RendezVous!$N$2:$N$301,RendezVous!$B$2:$B$301,"&gt;="&amp;$A11,RendezVous!$B$2:$B$301,"&lt;"&amp;DATE(YEAR($A11),MONTH($A11)+1,1))</f>
        <v>0.0</v>
      </c>
      <c r="H11" s="11">
        <f>SUMIFS(RendezVous!$O$2:$O$301,RendezVous!$B$2:$B$301,"&gt;="&amp;$A11,RendezVous!$B$2:$B$301,"&lt;"&amp;DATE(YEAR($A11),MONTH($A11)+1,1))</f>
        <v>120.0</v>
      </c>
    </row>
    <row r="12" spans="1:22" ht="22" customHeight="1">
      <c r="A12" s="14">
        <f>DATE(Parametres!$B$6,7,1)</f>
        <v>46204</v>
      </c>
      <c r="B12" s="13">
        <f>SUMIFS(RendezVous!$R$2:$R$301,RendezVous!$B$2:$B$301,"&gt;="&amp;$A12,RendezVous!$B$2:$B$301,"&lt;"&amp;DATE(YEAR($A12),MONTH($A12)+1,1),RendezVous!$E$2:$E$301,"Juridique")</f>
        <v>2</v>
      </c>
      <c r="C12" s="13">
        <f>SUMIFS(RendezVous!$R$2:$R$301,RendezVous!$B$2:$B$301,"&gt;="&amp;$A12,RendezVous!$B$2:$B$301,"&lt;"&amp;DATE(YEAR($A12),MONTH($A12)+1,1),RendezVous!$E$2:$E$301,"Psychologie")</f>
        <v>0</v>
      </c>
      <c r="D12" s="13">
        <f>SUMIFS(RendezVous!$R$2:$R$301,RendezVous!$B$2:$B$301,"&gt;="&amp;$A12,RendezVous!$B$2:$B$301,"&lt;"&amp;DATE(YEAR($A12),MONTH($A12)+1,1),RendezVous!$E$2:$E$301,"Sexologie")</f>
        <v>0</v>
      </c>
      <c r="E12" s="13">
        <f>SUM(B12:D12)</f>
        <v>2</v>
      </c>
      <c r="F12" s="11">
        <f>SUMIFS(RendezVous!$M$2:$M$301,RendezVous!$B$2:$B$301,"&gt;="&amp;$A12,RendezVous!$B$2:$B$301,"&lt;"&amp;DATE(YEAR($A12),MONTH($A12)+1,1))</f>
        <v>360.0</v>
      </c>
      <c r="G12" s="11">
        <f>SUMIFS(RendezVous!$N$2:$N$301,RendezVous!$B$2:$B$301,"&gt;="&amp;$A12,RendezVous!$B$2:$B$301,"&lt;"&amp;DATE(YEAR($A12),MONTH($A12)+1,1))</f>
        <v>0.0</v>
      </c>
      <c r="H12" s="11">
        <f>SUMIFS(RendezVous!$O$2:$O$301,RendezVous!$B$2:$B$301,"&gt;="&amp;$A12,RendezVous!$B$2:$B$301,"&lt;"&amp;DATE(YEAR($A12),MONTH($A12)+1,1))</f>
        <v>360.0</v>
      </c>
    </row>
    <row r="13" spans="1:22" ht="22" customHeight="1">
      <c r="A13" s="14">
        <f>DATE(Parametres!$B$6,8,1)</f>
        <v>46235</v>
      </c>
      <c r="B13" s="13">
        <f>SUMIFS(RendezVous!$R$2:$R$301,RendezVous!$B$2:$B$301,"&gt;="&amp;$A13,RendezVous!$B$2:$B$301,"&lt;"&amp;DATE(YEAR($A13),MONTH($A13)+1,1),RendezVous!$E$2:$E$301,"Juridique")</f>
        <v>0</v>
      </c>
      <c r="C13" s="13">
        <f>SUMIFS(RendezVous!$R$2:$R$301,RendezVous!$B$2:$B$301,"&gt;="&amp;$A13,RendezVous!$B$2:$B$301,"&lt;"&amp;DATE(YEAR($A13),MONTH($A13)+1,1),RendezVous!$E$2:$E$301,"Psychologie")</f>
        <v>1</v>
      </c>
      <c r="D13" s="13">
        <f>SUMIFS(RendezVous!$R$2:$R$301,RendezVous!$B$2:$B$301,"&gt;="&amp;$A13,RendezVous!$B$2:$B$301,"&lt;"&amp;DATE(YEAR($A13),MONTH($A13)+1,1),RendezVous!$E$2:$E$301,"Sexologie")</f>
        <v>3.5</v>
      </c>
      <c r="E13" s="13">
        <f>SUM(B13:D13)</f>
        <v>4.5</v>
      </c>
      <c r="F13" s="11">
        <f>SUMIFS(RendezVous!$M$2:$M$301,RendezVous!$B$2:$B$301,"&gt;="&amp;$A13,RendezVous!$B$2:$B$301,"&lt;"&amp;DATE(YEAR($A13),MONTH($A13)+1,1))</f>
        <v>470.0</v>
      </c>
      <c r="G13" s="11">
        <f>SUMIFS(RendezVous!$N$2:$N$301,RendezVous!$B$2:$B$301,"&gt;="&amp;$A13,RendezVous!$B$2:$B$301,"&lt;"&amp;DATE(YEAR($A13),MONTH($A13)+1,1))</f>
        <v>0.0</v>
      </c>
      <c r="H13" s="11">
        <f>SUMIFS(RendezVous!$O$2:$O$301,RendezVous!$B$2:$B$301,"&gt;="&amp;$A13,RendezVous!$B$2:$B$301,"&lt;"&amp;DATE(YEAR($A13),MONTH($A13)+1,1))</f>
        <v>470.0</v>
      </c>
    </row>
    <row r="14" spans="1:22" ht="22" customHeight="1">
      <c r="A14" s="14">
        <f>DATE(Parametres!$B$6,9,1)</f>
        <v>46266</v>
      </c>
      <c r="B14" s="13">
        <f>SUMIFS(RendezVous!$R$2:$R$301,RendezVous!$B$2:$B$301,"&gt;="&amp;$A14,RendezVous!$B$2:$B$301,"&lt;"&amp;DATE(YEAR($A14),MONTH($A14)+1,1),RendezVous!$E$2:$E$301,"Juridique")</f>
        <v>2</v>
      </c>
      <c r="C14" s="13">
        <f>SUMIFS(RendezVous!$R$2:$R$301,RendezVous!$B$2:$B$301,"&gt;="&amp;$A14,RendezVous!$B$2:$B$301,"&lt;"&amp;DATE(YEAR($A14),MONTH($A14)+1,1),RendezVous!$E$2:$E$301,"Psychologie")</f>
        <v>2</v>
      </c>
      <c r="D14" s="13">
        <f>SUMIFS(RendezVous!$R$2:$R$301,RendezVous!$B$2:$B$301,"&gt;="&amp;$A14,RendezVous!$B$2:$B$301,"&lt;"&amp;DATE(YEAR($A14),MONTH($A14)+1,1),RendezVous!$E$2:$E$301,"Sexologie")</f>
        <v>6.75</v>
      </c>
      <c r="E14" s="13">
        <f>SUM(B14:D14)</f>
        <v>10.75</v>
      </c>
      <c r="F14" s="11">
        <f>SUMIFS(RendezVous!$M$2:$M$301,RendezVous!$B$2:$B$301,"&gt;="&amp;$A14,RendezVous!$B$2:$B$301,"&lt;"&amp;DATE(YEAR($A14),MONTH($A14)+1,1))</f>
        <v>1275.0</v>
      </c>
      <c r="G14" s="11">
        <f>SUMIFS(RendezVous!$N$2:$N$301,RendezVous!$B$2:$B$301,"&gt;="&amp;$A14,RendezVous!$B$2:$B$301,"&lt;"&amp;DATE(YEAR($A14),MONTH($A14)+1,1))</f>
        <v>23.75</v>
      </c>
      <c r="H14" s="11">
        <f>SUMIFS(RendezVous!$O$2:$O$301,RendezVous!$B$2:$B$301,"&gt;="&amp;$A14,RendezVous!$B$2:$B$301,"&lt;"&amp;DATE(YEAR($A14),MONTH($A14)+1,1))</f>
        <v>1251.25</v>
      </c>
    </row>
    <row r="15" spans="1:22" ht="22" customHeight="1">
      <c r="A15" s="14">
        <f>DATE(Parametres!$B$6,10,1)</f>
        <v>46296</v>
      </c>
      <c r="B15" s="13">
        <f>SUMIFS(RendezVous!$R$2:$R$301,RendezVous!$B$2:$B$301,"&gt;="&amp;$A15,RendezVous!$B$2:$B$301,"&lt;"&amp;DATE(YEAR($A15),MONTH($A15)+1,1),RendezVous!$E$2:$E$301,"Juridique")</f>
        <v>0</v>
      </c>
      <c r="C15" s="13">
        <f>SUMIFS(RendezVous!$R$2:$R$301,RendezVous!$B$2:$B$301,"&gt;="&amp;$A15,RendezVous!$B$2:$B$301,"&lt;"&amp;DATE(YEAR($A15),MONTH($A15)+1,1),RendezVous!$E$2:$E$301,"Psychologie")</f>
        <v>0</v>
      </c>
      <c r="D15" s="13">
        <f>SUMIFS(RendezVous!$R$2:$R$301,RendezVous!$B$2:$B$301,"&gt;="&amp;$A15,RendezVous!$B$2:$B$301,"&lt;"&amp;DATE(YEAR($A15),MONTH($A15)+1,1),RendezVous!$E$2:$E$301,"Sexologie")</f>
        <v>0</v>
      </c>
      <c r="E15" s="13">
        <f>SUM(B15:D15)</f>
        <v>0</v>
      </c>
      <c r="F15" s="11">
        <f>SUMIFS(RendezVous!$M$2:$M$301,RendezVous!$B$2:$B$301,"&gt;="&amp;$A15,RendezVous!$B$2:$B$301,"&lt;"&amp;DATE(YEAR($A15),MONTH($A15)+1,1))</f>
        <v>0.0</v>
      </c>
      <c r="G15" s="11">
        <f>SUMIFS(RendezVous!$N$2:$N$301,RendezVous!$B$2:$B$301,"&gt;="&amp;$A15,RendezVous!$B$2:$B$301,"&lt;"&amp;DATE(YEAR($A15),MONTH($A15)+1,1))</f>
        <v>0.0</v>
      </c>
      <c r="H15" s="11">
        <f>SUMIFS(RendezVous!$O$2:$O$301,RendezVous!$B$2:$B$301,"&gt;="&amp;$A15,RendezVous!$B$2:$B$301,"&lt;"&amp;DATE(YEAR($A15),MONTH($A15)+1,1))</f>
        <v>0.0</v>
      </c>
    </row>
    <row r="16" spans="1:22" ht="22" customHeight="1">
      <c r="A16" s="14">
        <f>DATE(Parametres!$B$6,11,1)</f>
        <v>46327</v>
      </c>
      <c r="B16" s="13">
        <f>SUMIFS(RendezVous!$R$2:$R$301,RendezVous!$B$2:$B$301,"&gt;="&amp;$A16,RendezVous!$B$2:$B$301,"&lt;"&amp;DATE(YEAR($A16),MONTH($A16)+1,1),RendezVous!$E$2:$E$301,"Juridique")</f>
        <v>0</v>
      </c>
      <c r="C16" s="13">
        <f>SUMIFS(RendezVous!$R$2:$R$301,RendezVous!$B$2:$B$301,"&gt;="&amp;$A16,RendezVous!$B$2:$B$301,"&lt;"&amp;DATE(YEAR($A16),MONTH($A16)+1,1),RendezVous!$E$2:$E$301,"Psychologie")</f>
        <v>0</v>
      </c>
      <c r="D16" s="13">
        <f>SUMIFS(RendezVous!$R$2:$R$301,RendezVous!$B$2:$B$301,"&gt;="&amp;$A16,RendezVous!$B$2:$B$301,"&lt;"&amp;DATE(YEAR($A16),MONTH($A16)+1,1),RendezVous!$E$2:$E$301,"Sexologie")</f>
        <v>0</v>
      </c>
      <c r="E16" s="13">
        <f>SUM(B16:D16)</f>
        <v>0</v>
      </c>
      <c r="F16" s="11">
        <f>SUMIFS(RendezVous!$M$2:$M$301,RendezVous!$B$2:$B$301,"&gt;="&amp;$A16,RendezVous!$B$2:$B$301,"&lt;"&amp;DATE(YEAR($A16),MONTH($A16)+1,1))</f>
        <v>0.0</v>
      </c>
      <c r="G16" s="11">
        <f>SUMIFS(RendezVous!$N$2:$N$301,RendezVous!$B$2:$B$301,"&gt;="&amp;$A16,RendezVous!$B$2:$B$301,"&lt;"&amp;DATE(YEAR($A16),MONTH($A16)+1,1))</f>
        <v>0.0</v>
      </c>
      <c r="H16" s="11">
        <f>SUMIFS(RendezVous!$O$2:$O$301,RendezVous!$B$2:$B$301,"&gt;="&amp;$A16,RendezVous!$B$2:$B$301,"&lt;"&amp;DATE(YEAR($A16),MONTH($A16)+1,1))</f>
        <v>0.0</v>
      </c>
    </row>
    <row r="17" spans="1:8" ht="22" customHeight="1">
      <c r="A17" s="14">
        <f>DATE(Parametres!$B$6,12,1)</f>
        <v>46357</v>
      </c>
      <c r="B17" s="13">
        <f>SUMIFS(RendezVous!$R$2:$R$301,RendezVous!$B$2:$B$301,"&gt;="&amp;$A17,RendezVous!$B$2:$B$301,"&lt;"&amp;DATE(YEAR($A17),MONTH($A17)+1,1),RendezVous!$E$2:$E$301,"Juridique")</f>
        <v>0</v>
      </c>
      <c r="C17" s="13">
        <f>SUMIFS(RendezVous!$R$2:$R$301,RendezVous!$B$2:$B$301,"&gt;="&amp;$A17,RendezVous!$B$2:$B$301,"&lt;"&amp;DATE(YEAR($A17),MONTH($A17)+1,1),RendezVous!$E$2:$E$301,"Psychologie")</f>
        <v>0</v>
      </c>
      <c r="D17" s="13">
        <f>SUMIFS(RendezVous!$R$2:$R$301,RendezVous!$B$2:$B$301,"&gt;="&amp;$A17,RendezVous!$B$2:$B$301,"&lt;"&amp;DATE(YEAR($A17),MONTH($A17)+1,1),RendezVous!$E$2:$E$301,"Sexologie")</f>
        <v>0</v>
      </c>
      <c r="E17" s="13">
        <f>SUM(B17:D17)</f>
        <v>0</v>
      </c>
      <c r="F17" s="11">
        <f>SUMIFS(RendezVous!$M$2:$M$301,RendezVous!$B$2:$B$301,"&gt;="&amp;$A17,RendezVous!$B$2:$B$301,"&lt;"&amp;DATE(YEAR($A17),MONTH($A17)+1,1))</f>
        <v>0.0</v>
      </c>
      <c r="G17" s="11">
        <f>SUMIFS(RendezVous!$N$2:$N$301,RendezVous!$B$2:$B$301,"&gt;="&amp;$A17,RendezVous!$B$2:$B$301,"&lt;"&amp;DATE(YEAR($A17),MONTH($A17)+1,1))</f>
        <v>0.0</v>
      </c>
      <c r="H17" s="11">
        <f>SUMIFS(RendezVous!$O$2:$O$301,RendezVous!$B$2:$B$301,"&gt;="&amp;$A17,RendezVous!$B$2:$B$301,"&lt;"&amp;DATE(YEAR($A17),MONTH($A17)+1,1))</f>
        <v>0.0</v>
      </c>
    </row>
    <row r="18" spans="1:8" ht="22" customHeight="1">
      <c r="A18" s="5" t="s">
        <v>208</v>
      </c>
      <c r="B18" s="13">
        <f>SUM(B6:B17)</f>
        <v>4.0</v>
      </c>
      <c r="C18" s="13">
        <f>SUM(C6:C17)</f>
        <v>5.0</v>
      </c>
      <c r="D18" s="13">
        <f>SUM(D6:D17)</f>
        <v>12.25</v>
      </c>
      <c r="E18" s="13">
        <f>SUM(E6:E17)</f>
        <v>21.25</v>
      </c>
      <c r="F18" s="11">
        <f>SUM(F6:F17)</f>
        <v>2545.0</v>
      </c>
      <c r="G18" s="11">
        <f>SUM(G6:G17)</f>
        <v>23.75</v>
      </c>
      <c r="H18" s="11">
        <f>SUM(H6:H17)</f>
        <v>2521.25</v>
      </c>
    </row>
    <row r="21" spans="1:8" ht="22" customHeight="1">
      <c r="A21" s="5" t="s">
        <v>22</v>
      </c>
      <c r="B21" s="5" t="s">
        <v>209</v>
      </c>
      <c r="C21" s="5" t="s">
        <v>210</v>
      </c>
      <c r="D21" s="5" t="s">
        <v>211</v>
      </c>
      <c r="E21" s="5" t="s">
        <v>212</v>
      </c>
      <c r="F21" s="5" t="s">
        <v>213</v>
      </c>
      <c r="G21" s="5" t="s">
        <v>214</v>
      </c>
    </row>
    <row r="22" spans="1:8" ht="22" customHeight="1">
      <c r="A22" s="4" t="s">
        <v>30</v>
      </c>
      <c r="B22" s="13">
        <f>VLOOKUP(A22,Services!$A$2:$D$4,4,FALSE)</f>
        <v>80</v>
      </c>
      <c r="C22" s="13">
        <f>SUMIFS(RendezVous!$G$2:$G$301,RendezVous!$E$2:$E$301,A22,RendezVous!$B$2:$B$301,"&gt;="&amp;Parametres!$B$8,RendezVous!$B$2:$B$301,"&lt;"&amp;DATE(YEAR(Parametres!$B$8),MONTH(Parametres!$B$8)+1,1),RendezVous!$I$2:$I$301,"&lt;&gt;Annulé",RendezVous!$I$2:$I$301,"&lt;&gt;Absent")</f>
        <v>4</v>
      </c>
      <c r="D22" s="13">
        <f>SUMIFS(RendezVous!$R$2:$R$301,RendezVous!$E$2:$E$301,A22,RendezVous!$B$2:$B$301,"&gt;="&amp;Parametres!$B$8,RendezVous!$B$2:$B$301,"&lt;"&amp;DATE(YEAR(Parametres!$B$8),MONTH(Parametres!$B$8)+1,1))</f>
        <v>2</v>
      </c>
      <c r="E22" s="12">
        <f>IFERROR(C22/B22,0)</f>
        <v>0.05</v>
      </c>
      <c r="F22" s="13">
        <f>MAX(0,B22-C22)</f>
        <v>76</v>
      </c>
      <c r="G22" s="4" t="str">
        <f>IF(B22&lt;=0,"Capacité à valider",IF(E22&gt;=1,"Complet",IF(E22&gt;=0.9,"Vérifier les créneaux","Promotion possible")))</f>
        <v>Promotion possible</v>
      </c>
    </row>
    <row r="23" spans="1:8" ht="22" customHeight="1">
      <c r="A23" s="4" t="s">
        <v>32</v>
      </c>
      <c r="B23" s="13">
        <f>VLOOKUP(A23,Services!$A$2:$D$4,4,FALSE)</f>
        <v>80</v>
      </c>
      <c r="C23" s="13">
        <f>SUMIFS(RendezVous!$G$2:$G$301,RendezVous!$E$2:$E$301,A23,RendezVous!$B$2:$B$301,"&gt;="&amp;Parametres!$B$8,RendezVous!$B$2:$B$301,"&lt;"&amp;DATE(YEAR(Parametres!$B$8),MONTH(Parametres!$B$8)+1,1),RendezVous!$I$2:$I$301,"&lt;&gt;Annulé",RendezVous!$I$2:$I$301,"&lt;&gt;Absent")</f>
        <v>3</v>
      </c>
      <c r="D23" s="13">
        <f>SUMIFS(RendezVous!$R$2:$R$301,RendezVous!$E$2:$E$301,A23,RendezVous!$B$2:$B$301,"&gt;="&amp;Parametres!$B$8,RendezVous!$B$2:$B$301,"&lt;"&amp;DATE(YEAR(Parametres!$B$8),MONTH(Parametres!$B$8)+1,1))</f>
        <v>2</v>
      </c>
      <c r="E23" s="12">
        <f>IFERROR(C23/B23,0)</f>
        <v>0.0375</v>
      </c>
      <c r="F23" s="13">
        <f>MAX(0,B23-C23)</f>
        <v>77</v>
      </c>
      <c r="G23" s="4" t="str">
        <f>IF(B23&lt;=0,"Capacité à valider",IF(E23&gt;=1,"Complet",IF(E23&gt;=0.9,"Vérifier les créneaux","Promotion possible")))</f>
        <v>Promotion possible</v>
      </c>
    </row>
    <row r="24" spans="1:8" ht="22" customHeight="1">
      <c r="A24" s="4" t="s">
        <v>34</v>
      </c>
      <c r="B24" s="13">
        <f>VLOOKUP(A24,Services!$A$2:$D$4,4,FALSE)</f>
        <v>80</v>
      </c>
      <c r="C24" s="13">
        <f>SUMIFS(RendezVous!$G$2:$G$301,RendezVous!$E$2:$E$301,A24,RendezVous!$B$2:$B$301,"&gt;="&amp;Parametres!$B$8,RendezVous!$B$2:$B$301,"&lt;"&amp;DATE(YEAR(Parametres!$B$8),MONTH(Parametres!$B$8)+1,1),RendezVous!$I$2:$I$301,"&lt;&gt;Annulé",RendezVous!$I$2:$I$301,"&lt;&gt;Absent")</f>
        <v>7.5</v>
      </c>
      <c r="D24" s="13">
        <f>SUMIFS(RendezVous!$R$2:$R$301,RendezVous!$E$2:$E$301,A24,RendezVous!$B$2:$B$301,"&gt;="&amp;Parametres!$B$8,RendezVous!$B$2:$B$301,"&lt;"&amp;DATE(YEAR(Parametres!$B$8),MONTH(Parametres!$B$8)+1,1))</f>
        <v>6.75</v>
      </c>
      <c r="E24" s="12">
        <f>IFERROR(C24/B24,0)</f>
        <v>0.09375</v>
      </c>
      <c r="F24" s="13">
        <f>MAX(0,B24-C24)</f>
        <v>72.5</v>
      </c>
      <c r="G24" s="4" t="str">
        <f>IF(B24&lt;=0,"Capacité à valider",IF(E24&gt;=1,"Complet",IF(E24&gt;=0.9,"Vérifier les créneaux","Promotion possible")))</f>
        <v>Promotion possible</v>
      </c>
    </row>
    <row r="26" spans="1:8" ht="22" customHeight="1">
      <c r="A26" s="2" t="s">
        <v>215</v>
      </c>
      <c r="B26" s="2"/>
      <c r="C26" s="2"/>
      <c r="D26" s="2"/>
      <c r="E26" s="2"/>
      <c r="F26" s="2"/>
      <c r="G26" s="2"/>
      <c r="H26" s="2"/>
    </row>
    <row r="28" spans="1:8" ht="22" customHeight="1">
      <c r="A28" s="5" t="s">
        <v>216</v>
      </c>
      <c r="B28" s="9">
        <f>COUNTIFS(RendezVous!$A$2:$A$301,"&lt;&gt;",RendezVous!$S$2:$S$301,"&lt;&gt;OK")</f>
        <v>1</v>
      </c>
      <c r="D28" s="5" t="s">
        <v>217</v>
      </c>
      <c r="E28" s="9">
        <f>COUNTIFS(Messages!$A$2:$A$301,"&lt;&gt;",Messages!$K$2:$K$301,"&lt;&gt;OK")</f>
        <v>1</v>
      </c>
    </row>
    <row r="30" spans="1:8" ht="22" customHeight="1">
      <c r="A30" s="5" t="s">
        <v>218</v>
      </c>
      <c r="B30" s="13">
        <f>SUMIFS(RendezVous!$R$2:$R$301,RendezVous!$P$2:$P$301,"Émise",RendezVous!$B$2:$B$301,"&gt;="&amp;DATE(Parametres!$B$6,1,1),RendezVous!$B$2:$B$301,"&lt;"&amp;DATE(Parametres!$B$6+1,1,1))</f>
        <v>16.0</v>
      </c>
      <c r="D30" s="5" t="s">
        <v>219</v>
      </c>
      <c r="E30" s="13">
        <f>E18-B30</f>
        <v>5.25</v>
      </c>
    </row>
    <row r="32" spans="1:8" ht="22" customHeight="1">
      <c r="A32" s="2" t="s">
        <v>220</v>
      </c>
      <c r="B32" s="2"/>
      <c r="C32" s="2"/>
      <c r="D32" s="2"/>
      <c r="E32" s="2"/>
      <c r="F32" s="2"/>
      <c r="G32" s="2"/>
      <c r="H32" s="2"/>
    </row>
  </sheetData>
  <sheetProtection sheet="1" objects="1" scenarios="1" sort="0" autoFilter="0"/>
  <mergeCells count="4">
    <mergeCell ref="A1:H1"/>
    <mergeCell ref="A2:H2"/>
    <mergeCell ref="A26:H26"/>
    <mergeCell ref="A32:H32"/>
  </mergeCells>
  <conditionalFormatting sqref="E22:E24">
    <cfRule type="dataBar" priority="1">
      <dataBar>
        <cfvo type="num" val="0"/>
        <cfvo type="num" val="1"/>
        <color rgb="FF007D8A"/>
      </dataBar>
    </cfRule>
  </conditionalFormatting>
  <hyperlinks>
    <hyperlink ref="V1" location="'Accueil'!B2" display="Retour à l’accueil"/>
  </hyperlinks>
  <pageMargins left="0.3" right="0.3" top="0.45" bottom="0.45" header="0.3" footer="0.3"/>
  <pageSetup paperSize="1" orientation="landscape"/>
  <headerFooter>
    <oddFooter>&amp;LDémonstration — données fictives&amp;RPage 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1:V30"/>
  <sheetViews>
    <sheetView showGridLines="0" workbookViewId="0"/>
  </sheetViews>
  <sheetFormatPr defaultRowHeight="22" customHeight="1"/>
  <cols>
    <col min="1" max="1" width="3.7109375" customWidth="1"/>
    <col min="2" max="2" width="30.7109375" customWidth="1"/>
    <col min="3" max="3" width="38.7109375" customWidth="1"/>
    <col min="4" max="6" width="13.7109375" customWidth="1"/>
  </cols>
  <sheetData>
    <row r="1" spans="2:22" ht="22" customHeight="1">
      <c r="V1" s="3" t="s">
        <v>281</v>
      </c>
    </row>
    <row r="2" spans="2:22" ht="22" customHeight="1">
      <c r="B2" s="1" t="s">
        <v>221</v>
      </c>
      <c r="C2" s="1"/>
      <c r="D2" s="1"/>
      <c r="E2" s="1"/>
      <c r="F2" s="1"/>
    </row>
    <row r="3" spans="2:22" ht="22" customHeight="1">
      <c r="B3" s="2" t="s">
        <v>222</v>
      </c>
      <c r="C3" s="2"/>
      <c r="D3" s="2"/>
      <c r="E3" s="2"/>
      <c r="F3" s="2"/>
    </row>
    <row r="4" spans="2:22" ht="22" customHeight="1">
      <c r="B4" s="2" t="s">
        <v>223</v>
      </c>
      <c r="C4" s="2"/>
      <c r="D4" s="2"/>
      <c r="E4" s="2"/>
      <c r="F4" s="2"/>
    </row>
    <row r="6" spans="2:22" ht="22" customHeight="1">
      <c r="B6" s="5" t="s">
        <v>224</v>
      </c>
      <c r="C6" s="8" t="s">
        <v>165</v>
      </c>
    </row>
    <row r="8" spans="2:22" ht="22" customHeight="1">
      <c r="B8" s="4" t="s">
        <v>225</v>
      </c>
      <c r="C8" s="9" t="str">
        <f>IFERROR(VLOOKUP($C$6,RendezVous!$A$2:$S$301,17,FALSE),"")</f>
        <v>DEMO-014</v>
      </c>
    </row>
    <row r="9" spans="2:22" ht="22" customHeight="1">
      <c r="B9" s="4" t="s">
        <v>226</v>
      </c>
      <c r="C9" s="14">
        <f>IFERROR(VLOOKUP($C$6,RendezVous!$A$2:$S$301,2,FALSE),"")</f>
        <v>46266</v>
      </c>
    </row>
    <row r="10" spans="2:22" ht="22" customHeight="1">
      <c r="B10" s="4" t="s">
        <v>126</v>
      </c>
      <c r="C10" s="9" t="str">
        <f>IFERROR(VLOOKUP($C$6,RendezVous!$A$2:$S$301,4,FALSE),"")</f>
        <v>Camille Exemple</v>
      </c>
    </row>
    <row r="11" spans="2:22" ht="22" customHeight="1">
      <c r="B11" s="4" t="s">
        <v>22</v>
      </c>
      <c r="C11" s="9" t="str">
        <f>IFERROR(VLOOKUP($C$6,RendezVous!$A$2:$S$301,5,FALSE),"")</f>
        <v>Sexologie</v>
      </c>
    </row>
    <row r="12" spans="2:22" ht="22" customHeight="1">
      <c r="B12" s="4" t="s">
        <v>23</v>
      </c>
      <c r="C12" s="9" t="str">
        <f>IFERROR(VLOOKUP($C$6,RendezVous!$A$2:$S$301,6,FALSE),"")</f>
        <v>Julie Grandmaison</v>
      </c>
    </row>
    <row r="14" spans="2:22" ht="22" customHeight="1">
      <c r="B14" s="4" t="s">
        <v>227</v>
      </c>
      <c r="C14" s="9">
        <f>IFERROR(VLOOKUP($C$6,RendezVous!$A$2:$S$301,8,FALSE),"")</f>
        <v>1</v>
      </c>
    </row>
    <row r="15" spans="2:22" ht="22" customHeight="1">
      <c r="B15" s="4" t="s">
        <v>228</v>
      </c>
      <c r="C15" s="11">
        <f>IFERROR(VLOOKUP($C$6,RendezVous!$A$2:$S$301,10,FALSE),"")</f>
        <v>100</v>
      </c>
    </row>
    <row r="17" spans="2:6" ht="22" customHeight="1">
      <c r="B17" s="4" t="s">
        <v>229</v>
      </c>
      <c r="C17" s="11">
        <f>IFERROR(VLOOKUP($C$6,RendezVous!$A$2:$S$301,13,FALSE),"")</f>
        <v>100.0</v>
      </c>
    </row>
    <row r="18" spans="2:6" ht="22" customHeight="1">
      <c r="B18" s="4" t="s">
        <v>230</v>
      </c>
      <c r="C18" s="12">
        <f>IFERROR(VLOOKUP($C$6,RendezVous!$A$2:$S$301,12,FALSE),"")</f>
        <v>0.05</v>
      </c>
    </row>
    <row r="19" spans="2:6" ht="22" customHeight="1">
      <c r="B19" s="4" t="s">
        <v>231</v>
      </c>
      <c r="C19" s="11">
        <f>IFERROR(VLOOKUP($C$6,RendezVous!$A$2:$S$301,14,FALSE),"")</f>
        <v>5.0</v>
      </c>
    </row>
    <row r="21" spans="2:6" ht="22" customHeight="1">
      <c r="B21" s="5" t="s">
        <v>232</v>
      </c>
      <c r="C21" s="11">
        <f>IFERROR(VLOOKUP($C$6,RendezVous!$A$2:$S$301,15,FALSE),"")</f>
        <v>95.0</v>
      </c>
    </row>
    <row r="23" spans="2:6" ht="22" customHeight="1">
      <c r="B23" s="4" t="s">
        <v>233</v>
      </c>
      <c r="C23" s="9" t="str">
        <f>IFERROR(VLOOKUP($C$6,RendezVous!$A$2:$S$301,16,FALSE),"")</f>
        <v>Émise</v>
      </c>
    </row>
    <row r="24" spans="2:6" ht="22" customHeight="1">
      <c r="B24" s="4" t="s">
        <v>234</v>
      </c>
      <c r="C24" s="9" t="str">
        <f>IFERROR(VLOOKUP($C$6,RendezVous!$A$2:$S$301,19,FALSE),"")</f>
        <v>OK</v>
      </c>
    </row>
    <row r="26" spans="2:6" ht="22" customHeight="1">
      <c r="B26" s="2" t="s">
        <v>235</v>
      </c>
      <c r="C26" s="2"/>
      <c r="D26" s="2"/>
      <c r="E26" s="2"/>
      <c r="F26" s="2"/>
    </row>
    <row r="28" spans="2:6" ht="22" customHeight="1">
      <c r="B28" s="2" t="s">
        <v>236</v>
      </c>
      <c r="C28" s="2"/>
      <c r="D28" s="2"/>
      <c r="E28" s="2"/>
      <c r="F28" s="2"/>
    </row>
    <row r="30" spans="2:6" ht="22" customHeight="1">
      <c r="B30" s="4" t="s">
        <v>237</v>
      </c>
      <c r="C30" s="9" t="str">
        <f>IF($C$6="","Choisir un rendez-vous",IFERROR(IF(AND(VLOOKUP($C$6,RendezVous!$A$2:$S$301,9,FALSE)="Réalisé",C24="OK"),"Prête à contrôler","Émission bloquée"),"Rendez-vous inconnu"))</f>
        <v>Prête à contrôler</v>
      </c>
    </row>
  </sheetData>
  <sheetProtection sheet="1" objects="1" scenarios="1" sort="0" autoFilter="0"/>
  <mergeCells count="5">
    <mergeCell ref="B2:F2"/>
    <mergeCell ref="B3:F3"/>
    <mergeCell ref="B4:F4"/>
    <mergeCell ref="B26:F26"/>
    <mergeCell ref="B28:F28"/>
  </mergeCells>
  <dataValidations count="1">
    <dataValidation type="list" allowBlank="1" showInputMessage="1" showErrorMessage="1" errorTitle="Valeur à corriger" error="Utilisez une valeur autorisée; consultez le guide." sqref="C6">
      <formula1>ListeRdv</formula1>
    </dataValidation>
  </dataValidations>
  <hyperlinks>
    <hyperlink ref="V1" location="'Accueil'!B2" display="Retour à l’accueil"/>
  </hyperlinks>
  <pageMargins left="0.3" right="0.3" top="0.45" bottom="0.45" header="0.3" footer="0.3"/>
  <pageSetup paperSize="1" orientation="portrait"/>
  <headerFooter>
    <oddFooter>&amp;LDémonstration — données fictives&amp;RPage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51"/>
  <sheetViews>
    <sheetView showGridLines="0" workbookViewId="0">
      <pane ySplit="1" topLeftCell="A2" activePane="bottomLeft" state="frozen"/>
      <selection pane="bottomLeft"/>
    </sheetView>
  </sheetViews>
  <sheetFormatPr defaultRowHeight="22" customHeight="1"/>
  <cols>
    <col min="1" max="3" width="17.7109375" customWidth="1"/>
    <col min="4" max="7" width="25.7109375" customWidth="1"/>
    <col min="8" max="11" width="20.7109375" customWidth="1"/>
  </cols>
  <sheetData>
    <row r="1" spans="1:22" ht="36" customHeight="1">
      <c r="A1" s="5" t="s">
        <v>47</v>
      </c>
      <c r="B1" s="5" t="s">
        <v>48</v>
      </c>
      <c r="C1" s="5" t="s">
        <v>49</v>
      </c>
      <c r="D1" s="5" t="s">
        <v>50</v>
      </c>
      <c r="E1" s="5" t="s">
        <v>51</v>
      </c>
      <c r="F1" s="5" t="s">
        <v>52</v>
      </c>
      <c r="G1" s="5" t="s">
        <v>53</v>
      </c>
      <c r="H1" s="5" t="s">
        <v>57</v>
      </c>
      <c r="I1" s="5" t="s">
        <v>238</v>
      </c>
      <c r="J1" s="5" t="s">
        <v>239</v>
      </c>
      <c r="K1" s="5" t="s">
        <v>240</v>
      </c>
      <c r="V1" s="3" t="s">
        <v>281</v>
      </c>
    </row>
    <row r="2" spans="1:22" ht="22" customHeight="1">
      <c r="A2" s="9" t="str">
        <f>IF(Clients!A2="","",Clients!A2)</f>
        <v>C001</v>
      </c>
      <c r="B2" s="9" t="str">
        <f>IF(Clients!A2="","",Clients!B2)</f>
        <v>Camille</v>
      </c>
      <c r="C2" s="9" t="str">
        <f>IF(Clients!A2="","",Clients!C2)</f>
        <v>Exemple</v>
      </c>
      <c r="D2" s="9" t="str">
        <f>IF(Clients!A2="","",Clients!D2)</f>
        <v>101, rue Démonstration</v>
      </c>
      <c r="E2" s="9" t="str">
        <f>IF(Clients!A2="","",Clients!E2)</f>
        <v>Ville Exemple</v>
      </c>
      <c r="F2" s="9" t="str">
        <f>IF(Clients!A2="","",Clients!F2)</f>
        <v>QC</v>
      </c>
      <c r="G2" s="9" t="str">
        <f>IF(Clients!A2="","",Clients!G2)</f>
        <v>H0H 0H0</v>
      </c>
      <c r="H2" s="9" t="str">
        <f>IF(Clients!A2="","",Clients!K2)</f>
        <v>Oui</v>
      </c>
      <c r="I2" s="9" t="str">
        <f>IF(A2="","",IF(AND(Clients!M2="OK",OR(Clients!J2="Oui",H2="Oui")),"Oui","Non"))</f>
        <v>Oui</v>
      </c>
      <c r="J2" s="9" t="str">
        <f>IF(A2="","",TEXT(Parametres!$B$2,"yyyy-mm-dd"))</f>
        <v>2026-09-01</v>
      </c>
      <c r="K2" s="9" t="str">
        <f>IF(A2="","",TEXT(Parametres!$B$3,"yyyy-mm-dd"))</f>
        <v>2027-08-31</v>
      </c>
    </row>
    <row r="3" spans="1:22" ht="22" customHeight="1">
      <c r="A3" s="9" t="str">
        <f>IF(Clients!A3="","",Clients!A3)</f>
        <v>C002</v>
      </c>
      <c r="B3" s="9" t="str">
        <f>IF(Clients!A3="","",Clients!B3)</f>
        <v>Alex</v>
      </c>
      <c r="C3" s="9" t="str">
        <f>IF(Clients!A3="","",Clients!C3)</f>
        <v>Démo</v>
      </c>
      <c r="D3" s="9" t="str">
        <f>IF(Clients!A3="","",Clients!D3)</f>
        <v>102, rue Démonstration</v>
      </c>
      <c r="E3" s="9" t="str">
        <f>IF(Clients!A3="","",Clients!E3)</f>
        <v>Ville Exemple</v>
      </c>
      <c r="F3" s="9" t="str">
        <f>IF(Clients!A3="","",Clients!F3)</f>
        <v>QC</v>
      </c>
      <c r="G3" s="9" t="str">
        <f>IF(Clients!A3="","",Clients!G3)</f>
        <v>H0H 0H0</v>
      </c>
      <c r="H3" s="9" t="str">
        <f>IF(Clients!A3="","",Clients!K3)</f>
        <v>Oui</v>
      </c>
      <c r="I3" s="9" t="str">
        <f>IF(A3="","",IF(AND(Clients!M3="OK",OR(Clients!J3="Oui",H3="Oui")),"Oui","Non"))</f>
        <v>Oui</v>
      </c>
      <c r="J3" s="9" t="str">
        <f>IF(A3="","",TEXT(Parametres!$B$2,"yyyy-mm-dd"))</f>
        <v>2026-09-01</v>
      </c>
      <c r="K3" s="9" t="str">
        <f>IF(A3="","",TEXT(Parametres!$B$3,"yyyy-mm-dd"))</f>
        <v>2027-08-31</v>
      </c>
    </row>
    <row r="4" spans="1:22" ht="22" customHeight="1">
      <c r="A4" s="9" t="str">
        <f>IF(Clients!A4="","",Clients!A4)</f>
        <v>C003</v>
      </c>
      <c r="B4" s="9" t="str">
        <f>IF(Clients!A4="","",Clients!B4)</f>
        <v>Claude</v>
      </c>
      <c r="C4" s="9" t="str">
        <f>IF(Clients!A4="","",Clients!C4)</f>
        <v>Essai</v>
      </c>
      <c r="D4" s="9" t="str">
        <f>IF(Clients!A4="","",Clients!D4)</f>
        <v>103, rue Démonstration</v>
      </c>
      <c r="E4" s="9" t="str">
        <f>IF(Clients!A4="","",Clients!E4)</f>
        <v>Ville Exemple</v>
      </c>
      <c r="F4" s="9" t="str">
        <f>IF(Clients!A4="","",Clients!F4)</f>
        <v>QC</v>
      </c>
      <c r="G4" s="9" t="str">
        <f>IF(Clients!A4="","",Clients!G4)</f>
        <v>H0H 0H0</v>
      </c>
      <c r="H4" s="9" t="str">
        <f>IF(Clients!A4="","",Clients!K4)</f>
        <v>Non</v>
      </c>
      <c r="I4" s="9" t="str">
        <f>IF(A4="","",IF(AND(Clients!M4="OK",OR(Clients!J4="Oui",H4="Oui")),"Oui","Non"))</f>
        <v>Oui</v>
      </c>
      <c r="J4" s="9" t="str">
        <f>IF(A4="","",TEXT(Parametres!$B$2,"yyyy-mm-dd"))</f>
        <v>2026-09-01</v>
      </c>
      <c r="K4" s="9" t="str">
        <f>IF(A4="","",TEXT(Parametres!$B$3,"yyyy-mm-dd"))</f>
        <v>2027-08-31</v>
      </c>
    </row>
    <row r="5" spans="1:22" ht="22" customHeight="1">
      <c r="A5" s="9" t="str">
        <f>IF(Clients!A5="","",Clients!A5)</f>
        <v>C004</v>
      </c>
      <c r="B5" s="9" t="str">
        <f>IF(Clients!A5="","",Clients!B5)</f>
        <v>Lou</v>
      </c>
      <c r="C5" s="9" t="str">
        <f>IF(Clients!A5="","",Clients!C5)</f>
        <v>Modèle</v>
      </c>
      <c r="D5" s="9" t="str">
        <f>IF(Clients!A5="","",Clients!D5)</f>
        <v>104, rue Démonstration</v>
      </c>
      <c r="E5" s="9" t="str">
        <f>IF(Clients!A5="","",Clients!E5)</f>
        <v>Ville Exemple</v>
      </c>
      <c r="F5" s="9" t="str">
        <f>IF(Clients!A5="","",Clients!F5)</f>
        <v>QC</v>
      </c>
      <c r="G5" s="9" t="str">
        <f>IF(Clients!A5="","",Clients!G5)</f>
        <v>H0H 0H0</v>
      </c>
      <c r="H5" s="9" t="str">
        <f>IF(Clients!A5="","",Clients!K5)</f>
        <v>Non</v>
      </c>
      <c r="I5" s="9" t="str">
        <f>IF(A5="","",IF(AND(Clients!M5="OK",OR(Clients!J5="Oui",H5="Oui")),"Oui","Non"))</f>
        <v>Oui</v>
      </c>
      <c r="J5" s="9" t="str">
        <f>IF(A5="","",TEXT(Parametres!$B$2,"yyyy-mm-dd"))</f>
        <v>2026-09-01</v>
      </c>
      <c r="K5" s="9" t="str">
        <f>IF(A5="","",TEXT(Parametres!$B$3,"yyyy-mm-dd"))</f>
        <v>2027-08-31</v>
      </c>
    </row>
    <row r="6" spans="1:22" ht="22" customHeight="1">
      <c r="A6" s="9" t="str">
        <f>IF(Clients!A6="","",Clients!A6)</f>
        <v>C005</v>
      </c>
      <c r="B6" s="9" t="str">
        <f>IF(Clients!A6="","",Clients!B6)</f>
        <v>Dominique</v>
      </c>
      <c r="C6" s="9" t="str">
        <f>IF(Clients!A6="","",Clients!C6)</f>
        <v>Fictif</v>
      </c>
      <c r="D6" s="9" t="str">
        <f>IF(Clients!A6="","",Clients!D6)</f>
        <v>105, rue Démonstration</v>
      </c>
      <c r="E6" s="9" t="str">
        <f>IF(Clients!A6="","",Clients!E6)</f>
        <v>Ville Exemple</v>
      </c>
      <c r="F6" s="9" t="str">
        <f>IF(Clients!A6="","",Clients!F6)</f>
        <v>QC</v>
      </c>
      <c r="G6" s="9" t="str">
        <f>IF(Clients!A6="","",Clients!G6)</f>
        <v>H0H 0H0</v>
      </c>
      <c r="H6" s="9" t="str">
        <f>IF(Clients!A6="","",Clients!K6)</f>
        <v>Non</v>
      </c>
      <c r="I6" s="9" t="str">
        <f>IF(A6="","",IF(AND(Clients!M6="OK",OR(Clients!J6="Oui",H6="Oui")),"Oui","Non"))</f>
        <v>Oui</v>
      </c>
      <c r="J6" s="9" t="str">
        <f>IF(A6="","",TEXT(Parametres!$B$2,"yyyy-mm-dd"))</f>
        <v>2026-09-01</v>
      </c>
      <c r="K6" s="9" t="str">
        <f>IF(A6="","",TEXT(Parametres!$B$3,"yyyy-mm-dd"))</f>
        <v>2027-08-31</v>
      </c>
    </row>
    <row r="7" spans="1:22" ht="22" customHeight="1">
      <c r="A7" s="9" t="str">
        <f>IF(Clients!A7="","",Clients!A7)</f>
        <v>C006</v>
      </c>
      <c r="B7" s="9" t="str">
        <f>IF(Clients!A7="","",Clients!B7)</f>
        <v>Sacha</v>
      </c>
      <c r="C7" s="9" t="str">
        <f>IF(Clients!A7="","",Clients!C7)</f>
        <v>Témoin</v>
      </c>
      <c r="D7" s="9" t="str">
        <f>IF(Clients!A7="","",Clients!D7)</f>
        <v>106, rue Démonstration</v>
      </c>
      <c r="E7" s="9" t="str">
        <f>IF(Clients!A7="","",Clients!E7)</f>
        <v>Ville Exemple</v>
      </c>
      <c r="F7" s="9" t="str">
        <f>IF(Clients!A7="","",Clients!F7)</f>
        <v>QC</v>
      </c>
      <c r="G7" s="9" t="str">
        <f>IF(Clients!A7="","",Clients!G7)</f>
        <v>H0H 0H0</v>
      </c>
      <c r="H7" s="9" t="str">
        <f>IF(Clients!A7="","",Clients!K7)</f>
        <v>Non</v>
      </c>
      <c r="I7" s="9" t="str">
        <f>IF(A7="","",IF(AND(Clients!M7="OK",OR(Clients!J7="Oui",H7="Oui")),"Oui","Non"))</f>
        <v>Oui</v>
      </c>
      <c r="J7" s="9" t="str">
        <f>IF(A7="","",TEXT(Parametres!$B$2,"yyyy-mm-dd"))</f>
        <v>2026-09-01</v>
      </c>
      <c r="K7" s="9" t="str">
        <f>IF(A7="","",TEXT(Parametres!$B$3,"yyyy-mm-dd"))</f>
        <v>2027-08-31</v>
      </c>
    </row>
    <row r="8" spans="1:22" ht="22" customHeight="1">
      <c r="A8" s="9" t="str">
        <f>IF(Clients!A8="","",Clients!A8)</f>
        <v>C007</v>
      </c>
      <c r="B8" s="9" t="str">
        <f>IF(Clients!A8="","",Clients!B8)</f>
        <v>Charlie</v>
      </c>
      <c r="C8" s="9" t="str">
        <f>IF(Clients!A8="","",Clients!C8)</f>
        <v>Test</v>
      </c>
      <c r="D8" s="9" t="str">
        <f>IF(Clients!A8="","",Clients!D8)</f>
        <v>107, rue Démonstration</v>
      </c>
      <c r="E8" s="9" t="str">
        <f>IF(Clients!A8="","",Clients!E8)</f>
        <v>Ville Exemple</v>
      </c>
      <c r="F8" s="9" t="str">
        <f>IF(Clients!A8="","",Clients!F8)</f>
        <v>QC</v>
      </c>
      <c r="G8" s="9" t="str">
        <f>IF(Clients!A8="","",Clients!G8)</f>
        <v>H0H 0H0</v>
      </c>
      <c r="H8" s="9" t="str">
        <f>IF(Clients!A8="","",Clients!K8)</f>
        <v>Oui</v>
      </c>
      <c r="I8" s="9" t="str">
        <f>IF(A8="","",IF(AND(Clients!M8="OK",OR(Clients!J8="Oui",H8="Oui")),"Oui","Non"))</f>
        <v>Oui</v>
      </c>
      <c r="J8" s="9" t="str">
        <f>IF(A8="","",TEXT(Parametres!$B$2,"yyyy-mm-dd"))</f>
        <v>2026-09-01</v>
      </c>
      <c r="K8" s="9" t="str">
        <f>IF(A8="","",TEXT(Parametres!$B$3,"yyyy-mm-dd"))</f>
        <v>2027-08-31</v>
      </c>
    </row>
    <row r="9" spans="1:22" ht="22" customHeight="1">
      <c r="A9" s="9" t="str">
        <f>IF(Clients!A9="","",Clients!A9)</f>
        <v>C008</v>
      </c>
      <c r="B9" s="9" t="str">
        <f>IF(Clients!A9="","",Clients!B9)</f>
        <v>Maxime</v>
      </c>
      <c r="C9" s="9" t="str">
        <f>IF(Clients!A9="","",Clients!C9)</f>
        <v>Simulation</v>
      </c>
      <c r="D9" s="9" t="str">
        <f>IF(Clients!A9="","",Clients!D9)</f>
        <v>108, rue Démonstration</v>
      </c>
      <c r="E9" s="9" t="str">
        <f>IF(Clients!A9="","",Clients!E9)</f>
        <v>Ville Exemple</v>
      </c>
      <c r="F9" s="9" t="str">
        <f>IF(Clients!A9="","",Clients!F9)</f>
        <v>QC</v>
      </c>
      <c r="G9" s="9" t="str">
        <f>IF(Clients!A9="","",Clients!G9)</f>
        <v>H0H 0H0</v>
      </c>
      <c r="H9" s="9" t="str">
        <f>IF(Clients!A9="","",Clients!K9)</f>
        <v>Oui</v>
      </c>
      <c r="I9" s="9" t="str">
        <f>IF(A9="","",IF(AND(Clients!M9="OK",OR(Clients!J9="Oui",H9="Oui")),"Oui","Non"))</f>
        <v>Oui</v>
      </c>
      <c r="J9" s="9" t="str">
        <f>IF(A9="","",TEXT(Parametres!$B$2,"yyyy-mm-dd"))</f>
        <v>2026-09-01</v>
      </c>
      <c r="K9" s="9" t="str">
        <f>IF(A9="","",TEXT(Parametres!$B$3,"yyyy-mm-dd"))</f>
        <v>2027-08-31</v>
      </c>
    </row>
    <row r="10" spans="1:22" ht="22" customHeight="1">
      <c r="A10" s="9" t="str">
        <f>IF(Clients!A10="","",Clients!A10)</f>
        <v>C009</v>
      </c>
      <c r="B10" s="9" t="str">
        <f>IF(Clients!A10="","",Clients!B10)</f>
        <v>Robin</v>
      </c>
      <c r="C10" s="9" t="str">
        <f>IF(Clients!A10="","",Clients!C10)</f>
        <v>Échantillon</v>
      </c>
      <c r="D10" s="9" t="str">
        <f>IF(Clients!A10="","",Clients!D10)</f>
        <v>109, rue Démonstration</v>
      </c>
      <c r="E10" s="9" t="str">
        <f>IF(Clients!A10="","",Clients!E10)</f>
        <v>Ville Exemple</v>
      </c>
      <c r="F10" s="9" t="str">
        <f>IF(Clients!A10="","",Clients!F10)</f>
        <v>QC</v>
      </c>
      <c r="G10" s="9" t="str">
        <f>IF(Clients!A10="","",Clients!G10)</f>
        <v>H0H 0H0</v>
      </c>
      <c r="H10" s="9" t="str">
        <f>IF(Clients!A10="","",Clients!K10)</f>
        <v>Oui</v>
      </c>
      <c r="I10" s="9" t="str">
        <f>IF(A10="","",IF(AND(Clients!M10="OK",OR(Clients!J10="Oui",H10="Oui")),"Oui","Non"))</f>
        <v>Oui</v>
      </c>
      <c r="J10" s="9" t="str">
        <f>IF(A10="","",TEXT(Parametres!$B$2,"yyyy-mm-dd"))</f>
        <v>2026-09-01</v>
      </c>
      <c r="K10" s="9" t="str">
        <f>IF(A10="","",TEXT(Parametres!$B$3,"yyyy-mm-dd"))</f>
        <v>2027-08-31</v>
      </c>
    </row>
    <row r="11" spans="1:22" ht="22" customHeight="1">
      <c r="A11" s="9" t="str">
        <f>IF(Clients!A11="","",Clients!A11)</f>
        <v>C010</v>
      </c>
      <c r="B11" s="9" t="str">
        <f>IF(Clients!A11="","",Clients!B11)</f>
        <v>Noa</v>
      </c>
      <c r="C11" s="9" t="str">
        <f>IF(Clients!A11="","",Clients!C11)</f>
        <v>Prototype</v>
      </c>
      <c r="D11" s="9" t="str">
        <f>IF(Clients!A11="","",Clients!D11)</f>
        <v>110, rue Démonstration</v>
      </c>
      <c r="E11" s="9" t="str">
        <f>IF(Clients!A11="","",Clients!E11)</f>
        <v>Ville Exemple</v>
      </c>
      <c r="F11" s="9" t="str">
        <f>IF(Clients!A11="","",Clients!F11)</f>
        <v>QC</v>
      </c>
      <c r="G11" s="9" t="str">
        <f>IF(Clients!A11="","",Clients!G11)</f>
        <v>H0H 0H0</v>
      </c>
      <c r="H11" s="9" t="str">
        <f>IF(Clients!A11="","",Clients!K11)</f>
        <v>Non</v>
      </c>
      <c r="I11" s="9" t="str">
        <f>IF(A11="","",IF(AND(Clients!M11="OK",OR(Clients!J11="Oui",H11="Oui")),"Oui","Non"))</f>
        <v>Oui</v>
      </c>
      <c r="J11" s="9" t="str">
        <f>IF(A11="","",TEXT(Parametres!$B$2,"yyyy-mm-dd"))</f>
        <v>2026-09-01</v>
      </c>
      <c r="K11" s="9" t="str">
        <f>IF(A11="","",TEXT(Parametres!$B$3,"yyyy-mm-dd"))</f>
        <v>2027-08-31</v>
      </c>
    </row>
    <row r="12" spans="1:22" ht="22" customHeight="1">
      <c r="A12" s="9" t="str">
        <f>IF(Clients!A12="","",Clients!A12)</f>
        <v>C011</v>
      </c>
      <c r="B12" s="9" t="str">
        <f>IF(Clients!A12="","",Clients!B12)</f>
        <v>Morgan</v>
      </c>
      <c r="C12" s="9" t="str">
        <f>IF(Clients!A12="","",Clients!C12)</f>
        <v>Vérification</v>
      </c>
      <c r="D12" s="9" t="str">
        <f>IF(Clients!A12="","",Clients!D12)</f>
        <v>111, rue Démonstration</v>
      </c>
      <c r="E12" s="9" t="str">
        <f>IF(Clients!A12="","",Clients!E12)</f>
        <v>Ville Exemple</v>
      </c>
      <c r="F12" s="9" t="str">
        <f>IF(Clients!A12="","",Clients!F12)</f>
        <v>QC</v>
      </c>
      <c r="G12" s="9" t="str">
        <f>IF(Clients!A12="","",Clients!G12)</f>
        <v>H0H 0H0</v>
      </c>
      <c r="H12" s="9" t="str">
        <f>IF(Clients!A12="","",Clients!K12)</f>
        <v>Non</v>
      </c>
      <c r="I12" s="9" t="str">
        <f>IF(A12="","",IF(AND(Clients!M12="OK",OR(Clients!J12="Oui",H12="Oui")),"Oui","Non"))</f>
        <v>Oui</v>
      </c>
      <c r="J12" s="9" t="str">
        <f>IF(A12="","",TEXT(Parametres!$B$2,"yyyy-mm-dd"))</f>
        <v>2026-09-01</v>
      </c>
      <c r="K12" s="9" t="str">
        <f>IF(A12="","",TEXT(Parametres!$B$3,"yyyy-mm-dd"))</f>
        <v>2027-08-31</v>
      </c>
    </row>
    <row r="13" spans="1:22" ht="22" customHeight="1">
      <c r="A13" s="9" t="str">
        <f>IF(Clients!A13="","",Clients!A13)</f>
        <v>C012</v>
      </c>
      <c r="B13" s="9" t="str">
        <f>IF(Clients!A13="","",Clients!B13)</f>
        <v>Alix</v>
      </c>
      <c r="C13" s="9" t="str">
        <f>IF(Clients!A13="","",Clients!C13)</f>
        <v>Démonstration</v>
      </c>
      <c r="D13" s="9" t="str">
        <f>IF(Clients!A13="","",Clients!D13)</f>
        <v>112, rue Démonstration</v>
      </c>
      <c r="E13" s="9" t="str">
        <f>IF(Clients!A13="","",Clients!E13)</f>
        <v>Ville Exemple</v>
      </c>
      <c r="F13" s="9" t="str">
        <f>IF(Clients!A13="","",Clients!F13)</f>
        <v>QC</v>
      </c>
      <c r="G13" s="9" t="str">
        <f>IF(Clients!A13="","",Clients!G13)</f>
        <v>H0H 0H0</v>
      </c>
      <c r="H13" s="9" t="str">
        <f>IF(Clients!A13="","",Clients!K13)</f>
        <v>Oui</v>
      </c>
      <c r="I13" s="9" t="str">
        <f>IF(A13="","",IF(AND(Clients!M13="OK",OR(Clients!J13="Oui",H13="Oui")),"Oui","Non"))</f>
        <v>Oui</v>
      </c>
      <c r="J13" s="9" t="str">
        <f>IF(A13="","",TEXT(Parametres!$B$2,"yyyy-mm-dd"))</f>
        <v>2026-09-01</v>
      </c>
      <c r="K13" s="9" t="str">
        <f>IF(A13="","",TEXT(Parametres!$B$3,"yyyy-mm-dd"))</f>
        <v>2027-08-31</v>
      </c>
    </row>
    <row r="14" spans="1:22" ht="22" customHeight="1">
      <c r="A14" s="9">
        <f>IF(Clients!A14="","",Clients!A14)</f>
        <v/>
      </c>
      <c r="B14" s="9">
        <f>IF(Clients!A14="","",Clients!B14)</f>
        <v/>
      </c>
      <c r="C14" s="9">
        <f>IF(Clients!A14="","",Clients!C14)</f>
        <v/>
      </c>
      <c r="D14" s="9">
        <f>IF(Clients!A14="","",Clients!D14)</f>
        <v/>
      </c>
      <c r="E14" s="9">
        <f>IF(Clients!A14="","",Clients!E14)</f>
        <v/>
      </c>
      <c r="F14" s="9">
        <f>IF(Clients!A14="","",Clients!F14)</f>
        <v/>
      </c>
      <c r="G14" s="9">
        <f>IF(Clients!A14="","",Clients!G14)</f>
        <v/>
      </c>
      <c r="H14" s="9">
        <f>IF(Clients!A14="","",Clients!K14)</f>
        <v/>
      </c>
      <c r="I14" s="9">
        <f>IF(A14="","",IF(AND(Clients!M14="OK",OR(Clients!J14="Oui",H14="Oui")),"Oui","Non"))</f>
        <v/>
      </c>
      <c r="J14" s="9">
        <f>IF(A14="","",TEXT(Parametres!$B$2,"yyyy-mm-dd"))</f>
        <v/>
      </c>
      <c r="K14" s="9">
        <f>IF(A14="","",TEXT(Parametres!$B$3,"yyyy-mm-dd"))</f>
        <v/>
      </c>
    </row>
    <row r="15" spans="1:22" ht="22" customHeight="1">
      <c r="A15" s="9">
        <f>IF(Clients!A15="","",Clients!A15)</f>
        <v/>
      </c>
      <c r="B15" s="9">
        <f>IF(Clients!A15="","",Clients!B15)</f>
        <v/>
      </c>
      <c r="C15" s="9">
        <f>IF(Clients!A15="","",Clients!C15)</f>
        <v/>
      </c>
      <c r="D15" s="9">
        <f>IF(Clients!A15="","",Clients!D15)</f>
        <v/>
      </c>
      <c r="E15" s="9">
        <f>IF(Clients!A15="","",Clients!E15)</f>
        <v/>
      </c>
      <c r="F15" s="9">
        <f>IF(Clients!A15="","",Clients!F15)</f>
        <v/>
      </c>
      <c r="G15" s="9">
        <f>IF(Clients!A15="","",Clients!G15)</f>
        <v/>
      </c>
      <c r="H15" s="9">
        <f>IF(Clients!A15="","",Clients!K15)</f>
        <v/>
      </c>
      <c r="I15" s="9">
        <f>IF(A15="","",IF(AND(Clients!M15="OK",OR(Clients!J15="Oui",H15="Oui")),"Oui","Non"))</f>
        <v/>
      </c>
      <c r="J15" s="9">
        <f>IF(A15="","",TEXT(Parametres!$B$2,"yyyy-mm-dd"))</f>
        <v/>
      </c>
      <c r="K15" s="9">
        <f>IF(A15="","",TEXT(Parametres!$B$3,"yyyy-mm-dd"))</f>
        <v/>
      </c>
    </row>
    <row r="16" spans="1:22" ht="22" customHeight="1">
      <c r="A16" s="9">
        <f>IF(Clients!A16="","",Clients!A16)</f>
        <v/>
      </c>
      <c r="B16" s="9">
        <f>IF(Clients!A16="","",Clients!B16)</f>
        <v/>
      </c>
      <c r="C16" s="9">
        <f>IF(Clients!A16="","",Clients!C16)</f>
        <v/>
      </c>
      <c r="D16" s="9">
        <f>IF(Clients!A16="","",Clients!D16)</f>
        <v/>
      </c>
      <c r="E16" s="9">
        <f>IF(Clients!A16="","",Clients!E16)</f>
        <v/>
      </c>
      <c r="F16" s="9">
        <f>IF(Clients!A16="","",Clients!F16)</f>
        <v/>
      </c>
      <c r="G16" s="9">
        <f>IF(Clients!A16="","",Clients!G16)</f>
        <v/>
      </c>
      <c r="H16" s="9">
        <f>IF(Clients!A16="","",Clients!K16)</f>
        <v/>
      </c>
      <c r="I16" s="9">
        <f>IF(A16="","",IF(AND(Clients!M16="OK",OR(Clients!J16="Oui",H16="Oui")),"Oui","Non"))</f>
        <v/>
      </c>
      <c r="J16" s="9">
        <f>IF(A16="","",TEXT(Parametres!$B$2,"yyyy-mm-dd"))</f>
        <v/>
      </c>
      <c r="K16" s="9">
        <f>IF(A16="","",TEXT(Parametres!$B$3,"yyyy-mm-dd"))</f>
        <v/>
      </c>
    </row>
    <row r="17" spans="1:11" ht="22" customHeight="1">
      <c r="A17" s="9">
        <f>IF(Clients!A17="","",Clients!A17)</f>
        <v/>
      </c>
      <c r="B17" s="9">
        <f>IF(Clients!A17="","",Clients!B17)</f>
        <v/>
      </c>
      <c r="C17" s="9">
        <f>IF(Clients!A17="","",Clients!C17)</f>
        <v/>
      </c>
      <c r="D17" s="9">
        <f>IF(Clients!A17="","",Clients!D17)</f>
        <v/>
      </c>
      <c r="E17" s="9">
        <f>IF(Clients!A17="","",Clients!E17)</f>
        <v/>
      </c>
      <c r="F17" s="9">
        <f>IF(Clients!A17="","",Clients!F17)</f>
        <v/>
      </c>
      <c r="G17" s="9">
        <f>IF(Clients!A17="","",Clients!G17)</f>
        <v/>
      </c>
      <c r="H17" s="9">
        <f>IF(Clients!A17="","",Clients!K17)</f>
        <v/>
      </c>
      <c r="I17" s="9">
        <f>IF(A17="","",IF(AND(Clients!M17="OK",OR(Clients!J17="Oui",H17="Oui")),"Oui","Non"))</f>
        <v/>
      </c>
      <c r="J17" s="9">
        <f>IF(A17="","",TEXT(Parametres!$B$2,"yyyy-mm-dd"))</f>
        <v/>
      </c>
      <c r="K17" s="9">
        <f>IF(A17="","",TEXT(Parametres!$B$3,"yyyy-mm-dd"))</f>
        <v/>
      </c>
    </row>
    <row r="18" spans="1:11" ht="22" customHeight="1">
      <c r="A18" s="9">
        <f>IF(Clients!A18="","",Clients!A18)</f>
        <v/>
      </c>
      <c r="B18" s="9">
        <f>IF(Clients!A18="","",Clients!B18)</f>
        <v/>
      </c>
      <c r="C18" s="9">
        <f>IF(Clients!A18="","",Clients!C18)</f>
        <v/>
      </c>
      <c r="D18" s="9">
        <f>IF(Clients!A18="","",Clients!D18)</f>
        <v/>
      </c>
      <c r="E18" s="9">
        <f>IF(Clients!A18="","",Clients!E18)</f>
        <v/>
      </c>
      <c r="F18" s="9">
        <f>IF(Clients!A18="","",Clients!F18)</f>
        <v/>
      </c>
      <c r="G18" s="9">
        <f>IF(Clients!A18="","",Clients!G18)</f>
        <v/>
      </c>
      <c r="H18" s="9">
        <f>IF(Clients!A18="","",Clients!K18)</f>
        <v/>
      </c>
      <c r="I18" s="9">
        <f>IF(A18="","",IF(AND(Clients!M18="OK",OR(Clients!J18="Oui",H18="Oui")),"Oui","Non"))</f>
        <v/>
      </c>
      <c r="J18" s="9">
        <f>IF(A18="","",TEXT(Parametres!$B$2,"yyyy-mm-dd"))</f>
        <v/>
      </c>
      <c r="K18" s="9">
        <f>IF(A18="","",TEXT(Parametres!$B$3,"yyyy-mm-dd"))</f>
        <v/>
      </c>
    </row>
    <row r="19" spans="1:11" ht="22" customHeight="1">
      <c r="A19" s="9">
        <f>IF(Clients!A19="","",Clients!A19)</f>
        <v/>
      </c>
      <c r="B19" s="9">
        <f>IF(Clients!A19="","",Clients!B19)</f>
        <v/>
      </c>
      <c r="C19" s="9">
        <f>IF(Clients!A19="","",Clients!C19)</f>
        <v/>
      </c>
      <c r="D19" s="9">
        <f>IF(Clients!A19="","",Clients!D19)</f>
        <v/>
      </c>
      <c r="E19" s="9">
        <f>IF(Clients!A19="","",Clients!E19)</f>
        <v/>
      </c>
      <c r="F19" s="9">
        <f>IF(Clients!A19="","",Clients!F19)</f>
        <v/>
      </c>
      <c r="G19" s="9">
        <f>IF(Clients!A19="","",Clients!G19)</f>
        <v/>
      </c>
      <c r="H19" s="9">
        <f>IF(Clients!A19="","",Clients!K19)</f>
        <v/>
      </c>
      <c r="I19" s="9">
        <f>IF(A19="","",IF(AND(Clients!M19="OK",OR(Clients!J19="Oui",H19="Oui")),"Oui","Non"))</f>
        <v/>
      </c>
      <c r="J19" s="9">
        <f>IF(A19="","",TEXT(Parametres!$B$2,"yyyy-mm-dd"))</f>
        <v/>
      </c>
      <c r="K19" s="9">
        <f>IF(A19="","",TEXT(Parametres!$B$3,"yyyy-mm-dd"))</f>
        <v/>
      </c>
    </row>
    <row r="20" spans="1:11" ht="22" customHeight="1">
      <c r="A20" s="9">
        <f>IF(Clients!A20="","",Clients!A20)</f>
        <v/>
      </c>
      <c r="B20" s="9">
        <f>IF(Clients!A20="","",Clients!B20)</f>
        <v/>
      </c>
      <c r="C20" s="9">
        <f>IF(Clients!A20="","",Clients!C20)</f>
        <v/>
      </c>
      <c r="D20" s="9">
        <f>IF(Clients!A20="","",Clients!D20)</f>
        <v/>
      </c>
      <c r="E20" s="9">
        <f>IF(Clients!A20="","",Clients!E20)</f>
        <v/>
      </c>
      <c r="F20" s="9">
        <f>IF(Clients!A20="","",Clients!F20)</f>
        <v/>
      </c>
      <c r="G20" s="9">
        <f>IF(Clients!A20="","",Clients!G20)</f>
        <v/>
      </c>
      <c r="H20" s="9">
        <f>IF(Clients!A20="","",Clients!K20)</f>
        <v/>
      </c>
      <c r="I20" s="9">
        <f>IF(A20="","",IF(AND(Clients!M20="OK",OR(Clients!J20="Oui",H20="Oui")),"Oui","Non"))</f>
        <v/>
      </c>
      <c r="J20" s="9">
        <f>IF(A20="","",TEXT(Parametres!$B$2,"yyyy-mm-dd"))</f>
        <v/>
      </c>
      <c r="K20" s="9">
        <f>IF(A20="","",TEXT(Parametres!$B$3,"yyyy-mm-dd"))</f>
        <v/>
      </c>
    </row>
    <row r="21" spans="1:11" ht="22" customHeight="1">
      <c r="A21" s="9">
        <f>IF(Clients!A21="","",Clients!A21)</f>
        <v/>
      </c>
      <c r="B21" s="9">
        <f>IF(Clients!A21="","",Clients!B21)</f>
        <v/>
      </c>
      <c r="C21" s="9">
        <f>IF(Clients!A21="","",Clients!C21)</f>
        <v/>
      </c>
      <c r="D21" s="9">
        <f>IF(Clients!A21="","",Clients!D21)</f>
        <v/>
      </c>
      <c r="E21" s="9">
        <f>IF(Clients!A21="","",Clients!E21)</f>
        <v/>
      </c>
      <c r="F21" s="9">
        <f>IF(Clients!A21="","",Clients!F21)</f>
        <v/>
      </c>
      <c r="G21" s="9">
        <f>IF(Clients!A21="","",Clients!G21)</f>
        <v/>
      </c>
      <c r="H21" s="9">
        <f>IF(Clients!A21="","",Clients!K21)</f>
        <v/>
      </c>
      <c r="I21" s="9">
        <f>IF(A21="","",IF(AND(Clients!M21="OK",OR(Clients!J21="Oui",H21="Oui")),"Oui","Non"))</f>
        <v/>
      </c>
      <c r="J21" s="9">
        <f>IF(A21="","",TEXT(Parametres!$B$2,"yyyy-mm-dd"))</f>
        <v/>
      </c>
      <c r="K21" s="9">
        <f>IF(A21="","",TEXT(Parametres!$B$3,"yyyy-mm-dd"))</f>
        <v/>
      </c>
    </row>
    <row r="22" spans="1:11" ht="22" customHeight="1">
      <c r="A22" s="9">
        <f>IF(Clients!A22="","",Clients!A22)</f>
        <v/>
      </c>
      <c r="B22" s="9">
        <f>IF(Clients!A22="","",Clients!B22)</f>
        <v/>
      </c>
      <c r="C22" s="9">
        <f>IF(Clients!A22="","",Clients!C22)</f>
        <v/>
      </c>
      <c r="D22" s="9">
        <f>IF(Clients!A22="","",Clients!D22)</f>
        <v/>
      </c>
      <c r="E22" s="9">
        <f>IF(Clients!A22="","",Clients!E22)</f>
        <v/>
      </c>
      <c r="F22" s="9">
        <f>IF(Clients!A22="","",Clients!F22)</f>
        <v/>
      </c>
      <c r="G22" s="9">
        <f>IF(Clients!A22="","",Clients!G22)</f>
        <v/>
      </c>
      <c r="H22" s="9">
        <f>IF(Clients!A22="","",Clients!K22)</f>
        <v/>
      </c>
      <c r="I22" s="9">
        <f>IF(A22="","",IF(AND(Clients!M22="OK",OR(Clients!J22="Oui",H22="Oui")),"Oui","Non"))</f>
        <v/>
      </c>
      <c r="J22" s="9">
        <f>IF(A22="","",TEXT(Parametres!$B$2,"yyyy-mm-dd"))</f>
        <v/>
      </c>
      <c r="K22" s="9">
        <f>IF(A22="","",TEXT(Parametres!$B$3,"yyyy-mm-dd"))</f>
        <v/>
      </c>
    </row>
    <row r="23" spans="1:11" ht="22" customHeight="1">
      <c r="A23" s="9">
        <f>IF(Clients!A23="","",Clients!A23)</f>
        <v/>
      </c>
      <c r="B23" s="9">
        <f>IF(Clients!A23="","",Clients!B23)</f>
        <v/>
      </c>
      <c r="C23" s="9">
        <f>IF(Clients!A23="","",Clients!C23)</f>
        <v/>
      </c>
      <c r="D23" s="9">
        <f>IF(Clients!A23="","",Clients!D23)</f>
        <v/>
      </c>
      <c r="E23" s="9">
        <f>IF(Clients!A23="","",Clients!E23)</f>
        <v/>
      </c>
      <c r="F23" s="9">
        <f>IF(Clients!A23="","",Clients!F23)</f>
        <v/>
      </c>
      <c r="G23" s="9">
        <f>IF(Clients!A23="","",Clients!G23)</f>
        <v/>
      </c>
      <c r="H23" s="9">
        <f>IF(Clients!A23="","",Clients!K23)</f>
        <v/>
      </c>
      <c r="I23" s="9">
        <f>IF(A23="","",IF(AND(Clients!M23="OK",OR(Clients!J23="Oui",H23="Oui")),"Oui","Non"))</f>
        <v/>
      </c>
      <c r="J23" s="9">
        <f>IF(A23="","",TEXT(Parametres!$B$2,"yyyy-mm-dd"))</f>
        <v/>
      </c>
      <c r="K23" s="9">
        <f>IF(A23="","",TEXT(Parametres!$B$3,"yyyy-mm-dd"))</f>
        <v/>
      </c>
    </row>
    <row r="24" spans="1:11" ht="22" customHeight="1">
      <c r="A24" s="9">
        <f>IF(Clients!A24="","",Clients!A24)</f>
        <v/>
      </c>
      <c r="B24" s="9">
        <f>IF(Clients!A24="","",Clients!B24)</f>
        <v/>
      </c>
      <c r="C24" s="9">
        <f>IF(Clients!A24="","",Clients!C24)</f>
        <v/>
      </c>
      <c r="D24" s="9">
        <f>IF(Clients!A24="","",Clients!D24)</f>
        <v/>
      </c>
      <c r="E24" s="9">
        <f>IF(Clients!A24="","",Clients!E24)</f>
        <v/>
      </c>
      <c r="F24" s="9">
        <f>IF(Clients!A24="","",Clients!F24)</f>
        <v/>
      </c>
      <c r="G24" s="9">
        <f>IF(Clients!A24="","",Clients!G24)</f>
        <v/>
      </c>
      <c r="H24" s="9">
        <f>IF(Clients!A24="","",Clients!K24)</f>
        <v/>
      </c>
      <c r="I24" s="9">
        <f>IF(A24="","",IF(AND(Clients!M24="OK",OR(Clients!J24="Oui",H24="Oui")),"Oui","Non"))</f>
        <v/>
      </c>
      <c r="J24" s="9">
        <f>IF(A24="","",TEXT(Parametres!$B$2,"yyyy-mm-dd"))</f>
        <v/>
      </c>
      <c r="K24" s="9">
        <f>IF(A24="","",TEXT(Parametres!$B$3,"yyyy-mm-dd"))</f>
        <v/>
      </c>
    </row>
    <row r="25" spans="1:11" ht="22" customHeight="1">
      <c r="A25" s="9">
        <f>IF(Clients!A25="","",Clients!A25)</f>
        <v/>
      </c>
      <c r="B25" s="9">
        <f>IF(Clients!A25="","",Clients!B25)</f>
        <v/>
      </c>
      <c r="C25" s="9">
        <f>IF(Clients!A25="","",Clients!C25)</f>
        <v/>
      </c>
      <c r="D25" s="9">
        <f>IF(Clients!A25="","",Clients!D25)</f>
        <v/>
      </c>
      <c r="E25" s="9">
        <f>IF(Clients!A25="","",Clients!E25)</f>
        <v/>
      </c>
      <c r="F25" s="9">
        <f>IF(Clients!A25="","",Clients!F25)</f>
        <v/>
      </c>
      <c r="G25" s="9">
        <f>IF(Clients!A25="","",Clients!G25)</f>
        <v/>
      </c>
      <c r="H25" s="9">
        <f>IF(Clients!A25="","",Clients!K25)</f>
        <v/>
      </c>
      <c r="I25" s="9">
        <f>IF(A25="","",IF(AND(Clients!M25="OK",OR(Clients!J25="Oui",H25="Oui")),"Oui","Non"))</f>
        <v/>
      </c>
      <c r="J25" s="9">
        <f>IF(A25="","",TEXT(Parametres!$B$2,"yyyy-mm-dd"))</f>
        <v/>
      </c>
      <c r="K25" s="9">
        <f>IF(A25="","",TEXT(Parametres!$B$3,"yyyy-mm-dd"))</f>
        <v/>
      </c>
    </row>
    <row r="26" spans="1:11" ht="22" customHeight="1">
      <c r="A26" s="9">
        <f>IF(Clients!A26="","",Clients!A26)</f>
        <v/>
      </c>
      <c r="B26" s="9">
        <f>IF(Clients!A26="","",Clients!B26)</f>
        <v/>
      </c>
      <c r="C26" s="9">
        <f>IF(Clients!A26="","",Clients!C26)</f>
        <v/>
      </c>
      <c r="D26" s="9">
        <f>IF(Clients!A26="","",Clients!D26)</f>
        <v/>
      </c>
      <c r="E26" s="9">
        <f>IF(Clients!A26="","",Clients!E26)</f>
        <v/>
      </c>
      <c r="F26" s="9">
        <f>IF(Clients!A26="","",Clients!F26)</f>
        <v/>
      </c>
      <c r="G26" s="9">
        <f>IF(Clients!A26="","",Clients!G26)</f>
        <v/>
      </c>
      <c r="H26" s="9">
        <f>IF(Clients!A26="","",Clients!K26)</f>
        <v/>
      </c>
      <c r="I26" s="9">
        <f>IF(A26="","",IF(AND(Clients!M26="OK",OR(Clients!J26="Oui",H26="Oui")),"Oui","Non"))</f>
        <v/>
      </c>
      <c r="J26" s="9">
        <f>IF(A26="","",TEXT(Parametres!$B$2,"yyyy-mm-dd"))</f>
        <v/>
      </c>
      <c r="K26" s="9">
        <f>IF(A26="","",TEXT(Parametres!$B$3,"yyyy-mm-dd"))</f>
        <v/>
      </c>
    </row>
    <row r="27" spans="1:11" ht="22" customHeight="1">
      <c r="A27" s="9">
        <f>IF(Clients!A27="","",Clients!A27)</f>
        <v/>
      </c>
      <c r="B27" s="9">
        <f>IF(Clients!A27="","",Clients!B27)</f>
        <v/>
      </c>
      <c r="C27" s="9">
        <f>IF(Clients!A27="","",Clients!C27)</f>
        <v/>
      </c>
      <c r="D27" s="9">
        <f>IF(Clients!A27="","",Clients!D27)</f>
        <v/>
      </c>
      <c r="E27" s="9">
        <f>IF(Clients!A27="","",Clients!E27)</f>
        <v/>
      </c>
      <c r="F27" s="9">
        <f>IF(Clients!A27="","",Clients!F27)</f>
        <v/>
      </c>
      <c r="G27" s="9">
        <f>IF(Clients!A27="","",Clients!G27)</f>
        <v/>
      </c>
      <c r="H27" s="9">
        <f>IF(Clients!A27="","",Clients!K27)</f>
        <v/>
      </c>
      <c r="I27" s="9">
        <f>IF(A27="","",IF(AND(Clients!M27="OK",OR(Clients!J27="Oui",H27="Oui")),"Oui","Non"))</f>
        <v/>
      </c>
      <c r="J27" s="9">
        <f>IF(A27="","",TEXT(Parametres!$B$2,"yyyy-mm-dd"))</f>
        <v/>
      </c>
      <c r="K27" s="9">
        <f>IF(A27="","",TEXT(Parametres!$B$3,"yyyy-mm-dd"))</f>
        <v/>
      </c>
    </row>
    <row r="28" spans="1:11" ht="22" customHeight="1">
      <c r="A28" s="9">
        <f>IF(Clients!A28="","",Clients!A28)</f>
        <v/>
      </c>
      <c r="B28" s="9">
        <f>IF(Clients!A28="","",Clients!B28)</f>
        <v/>
      </c>
      <c r="C28" s="9">
        <f>IF(Clients!A28="","",Clients!C28)</f>
        <v/>
      </c>
      <c r="D28" s="9">
        <f>IF(Clients!A28="","",Clients!D28)</f>
        <v/>
      </c>
      <c r="E28" s="9">
        <f>IF(Clients!A28="","",Clients!E28)</f>
        <v/>
      </c>
      <c r="F28" s="9">
        <f>IF(Clients!A28="","",Clients!F28)</f>
        <v/>
      </c>
      <c r="G28" s="9">
        <f>IF(Clients!A28="","",Clients!G28)</f>
        <v/>
      </c>
      <c r="H28" s="9">
        <f>IF(Clients!A28="","",Clients!K28)</f>
        <v/>
      </c>
      <c r="I28" s="9">
        <f>IF(A28="","",IF(AND(Clients!M28="OK",OR(Clients!J28="Oui",H28="Oui")),"Oui","Non"))</f>
        <v/>
      </c>
      <c r="J28" s="9">
        <f>IF(A28="","",TEXT(Parametres!$B$2,"yyyy-mm-dd"))</f>
        <v/>
      </c>
      <c r="K28" s="9">
        <f>IF(A28="","",TEXT(Parametres!$B$3,"yyyy-mm-dd"))</f>
        <v/>
      </c>
    </row>
    <row r="29" spans="1:11" ht="22" customHeight="1">
      <c r="A29" s="9">
        <f>IF(Clients!A29="","",Clients!A29)</f>
        <v/>
      </c>
      <c r="B29" s="9">
        <f>IF(Clients!A29="","",Clients!B29)</f>
        <v/>
      </c>
      <c r="C29" s="9">
        <f>IF(Clients!A29="","",Clients!C29)</f>
        <v/>
      </c>
      <c r="D29" s="9">
        <f>IF(Clients!A29="","",Clients!D29)</f>
        <v/>
      </c>
      <c r="E29" s="9">
        <f>IF(Clients!A29="","",Clients!E29)</f>
        <v/>
      </c>
      <c r="F29" s="9">
        <f>IF(Clients!A29="","",Clients!F29)</f>
        <v/>
      </c>
      <c r="G29" s="9">
        <f>IF(Clients!A29="","",Clients!G29)</f>
        <v/>
      </c>
      <c r="H29" s="9">
        <f>IF(Clients!A29="","",Clients!K29)</f>
        <v/>
      </c>
      <c r="I29" s="9">
        <f>IF(A29="","",IF(AND(Clients!M29="OK",OR(Clients!J29="Oui",H29="Oui")),"Oui","Non"))</f>
        <v/>
      </c>
      <c r="J29" s="9">
        <f>IF(A29="","",TEXT(Parametres!$B$2,"yyyy-mm-dd"))</f>
        <v/>
      </c>
      <c r="K29" s="9">
        <f>IF(A29="","",TEXT(Parametres!$B$3,"yyyy-mm-dd"))</f>
        <v/>
      </c>
    </row>
    <row r="30" spans="1:11" ht="22" customHeight="1">
      <c r="A30" s="9">
        <f>IF(Clients!A30="","",Clients!A30)</f>
        <v/>
      </c>
      <c r="B30" s="9">
        <f>IF(Clients!A30="","",Clients!B30)</f>
        <v/>
      </c>
      <c r="C30" s="9">
        <f>IF(Clients!A30="","",Clients!C30)</f>
        <v/>
      </c>
      <c r="D30" s="9">
        <f>IF(Clients!A30="","",Clients!D30)</f>
        <v/>
      </c>
      <c r="E30" s="9">
        <f>IF(Clients!A30="","",Clients!E30)</f>
        <v/>
      </c>
      <c r="F30" s="9">
        <f>IF(Clients!A30="","",Clients!F30)</f>
        <v/>
      </c>
      <c r="G30" s="9">
        <f>IF(Clients!A30="","",Clients!G30)</f>
        <v/>
      </c>
      <c r="H30" s="9">
        <f>IF(Clients!A30="","",Clients!K30)</f>
        <v/>
      </c>
      <c r="I30" s="9">
        <f>IF(A30="","",IF(AND(Clients!M30="OK",OR(Clients!J30="Oui",H30="Oui")),"Oui","Non"))</f>
        <v/>
      </c>
      <c r="J30" s="9">
        <f>IF(A30="","",TEXT(Parametres!$B$2,"yyyy-mm-dd"))</f>
        <v/>
      </c>
      <c r="K30" s="9">
        <f>IF(A30="","",TEXT(Parametres!$B$3,"yyyy-mm-dd"))</f>
        <v/>
      </c>
    </row>
    <row r="31" spans="1:11" ht="22" customHeight="1">
      <c r="A31" s="9">
        <f>IF(Clients!A31="","",Clients!A31)</f>
        <v/>
      </c>
      <c r="B31" s="9">
        <f>IF(Clients!A31="","",Clients!B31)</f>
        <v/>
      </c>
      <c r="C31" s="9">
        <f>IF(Clients!A31="","",Clients!C31)</f>
        <v/>
      </c>
      <c r="D31" s="9">
        <f>IF(Clients!A31="","",Clients!D31)</f>
        <v/>
      </c>
      <c r="E31" s="9">
        <f>IF(Clients!A31="","",Clients!E31)</f>
        <v/>
      </c>
      <c r="F31" s="9">
        <f>IF(Clients!A31="","",Clients!F31)</f>
        <v/>
      </c>
      <c r="G31" s="9">
        <f>IF(Clients!A31="","",Clients!G31)</f>
        <v/>
      </c>
      <c r="H31" s="9">
        <f>IF(Clients!A31="","",Clients!K31)</f>
        <v/>
      </c>
      <c r="I31" s="9">
        <f>IF(A31="","",IF(AND(Clients!M31="OK",OR(Clients!J31="Oui",H31="Oui")),"Oui","Non"))</f>
        <v/>
      </c>
      <c r="J31" s="9">
        <f>IF(A31="","",TEXT(Parametres!$B$2,"yyyy-mm-dd"))</f>
        <v/>
      </c>
      <c r="K31" s="9">
        <f>IF(A31="","",TEXT(Parametres!$B$3,"yyyy-mm-dd"))</f>
        <v/>
      </c>
    </row>
    <row r="32" spans="1:11" ht="22" customHeight="1">
      <c r="A32" s="9">
        <f>IF(Clients!A32="","",Clients!A32)</f>
        <v/>
      </c>
      <c r="B32" s="9">
        <f>IF(Clients!A32="","",Clients!B32)</f>
        <v/>
      </c>
      <c r="C32" s="9">
        <f>IF(Clients!A32="","",Clients!C32)</f>
        <v/>
      </c>
      <c r="D32" s="9">
        <f>IF(Clients!A32="","",Clients!D32)</f>
        <v/>
      </c>
      <c r="E32" s="9">
        <f>IF(Clients!A32="","",Clients!E32)</f>
        <v/>
      </c>
      <c r="F32" s="9">
        <f>IF(Clients!A32="","",Clients!F32)</f>
        <v/>
      </c>
      <c r="G32" s="9">
        <f>IF(Clients!A32="","",Clients!G32)</f>
        <v/>
      </c>
      <c r="H32" s="9">
        <f>IF(Clients!A32="","",Clients!K32)</f>
        <v/>
      </c>
      <c r="I32" s="9">
        <f>IF(A32="","",IF(AND(Clients!M32="OK",OR(Clients!J32="Oui",H32="Oui")),"Oui","Non"))</f>
        <v/>
      </c>
      <c r="J32" s="9">
        <f>IF(A32="","",TEXT(Parametres!$B$2,"yyyy-mm-dd"))</f>
        <v/>
      </c>
      <c r="K32" s="9">
        <f>IF(A32="","",TEXT(Parametres!$B$3,"yyyy-mm-dd"))</f>
        <v/>
      </c>
    </row>
    <row r="33" spans="1:11" ht="22" customHeight="1">
      <c r="A33" s="9">
        <f>IF(Clients!A33="","",Clients!A33)</f>
        <v/>
      </c>
      <c r="B33" s="9">
        <f>IF(Clients!A33="","",Clients!B33)</f>
        <v/>
      </c>
      <c r="C33" s="9">
        <f>IF(Clients!A33="","",Clients!C33)</f>
        <v/>
      </c>
      <c r="D33" s="9">
        <f>IF(Clients!A33="","",Clients!D33)</f>
        <v/>
      </c>
      <c r="E33" s="9">
        <f>IF(Clients!A33="","",Clients!E33)</f>
        <v/>
      </c>
      <c r="F33" s="9">
        <f>IF(Clients!A33="","",Clients!F33)</f>
        <v/>
      </c>
      <c r="G33" s="9">
        <f>IF(Clients!A33="","",Clients!G33)</f>
        <v/>
      </c>
      <c r="H33" s="9">
        <f>IF(Clients!A33="","",Clients!K33)</f>
        <v/>
      </c>
      <c r="I33" s="9">
        <f>IF(A33="","",IF(AND(Clients!M33="OK",OR(Clients!J33="Oui",H33="Oui")),"Oui","Non"))</f>
        <v/>
      </c>
      <c r="J33" s="9">
        <f>IF(A33="","",TEXT(Parametres!$B$2,"yyyy-mm-dd"))</f>
        <v/>
      </c>
      <c r="K33" s="9">
        <f>IF(A33="","",TEXT(Parametres!$B$3,"yyyy-mm-dd"))</f>
        <v/>
      </c>
    </row>
    <row r="34" spans="1:11" ht="22" customHeight="1">
      <c r="A34" s="9">
        <f>IF(Clients!A34="","",Clients!A34)</f>
        <v/>
      </c>
      <c r="B34" s="9">
        <f>IF(Clients!A34="","",Clients!B34)</f>
        <v/>
      </c>
      <c r="C34" s="9">
        <f>IF(Clients!A34="","",Clients!C34)</f>
        <v/>
      </c>
      <c r="D34" s="9">
        <f>IF(Clients!A34="","",Clients!D34)</f>
        <v/>
      </c>
      <c r="E34" s="9">
        <f>IF(Clients!A34="","",Clients!E34)</f>
        <v/>
      </c>
      <c r="F34" s="9">
        <f>IF(Clients!A34="","",Clients!F34)</f>
        <v/>
      </c>
      <c r="G34" s="9">
        <f>IF(Clients!A34="","",Clients!G34)</f>
        <v/>
      </c>
      <c r="H34" s="9">
        <f>IF(Clients!A34="","",Clients!K34)</f>
        <v/>
      </c>
      <c r="I34" s="9">
        <f>IF(A34="","",IF(AND(Clients!M34="OK",OR(Clients!J34="Oui",H34="Oui")),"Oui","Non"))</f>
        <v/>
      </c>
      <c r="J34" s="9">
        <f>IF(A34="","",TEXT(Parametres!$B$2,"yyyy-mm-dd"))</f>
        <v/>
      </c>
      <c r="K34" s="9">
        <f>IF(A34="","",TEXT(Parametres!$B$3,"yyyy-mm-dd"))</f>
        <v/>
      </c>
    </row>
    <row r="35" spans="1:11" ht="22" customHeight="1">
      <c r="A35" s="9">
        <f>IF(Clients!A35="","",Clients!A35)</f>
        <v/>
      </c>
      <c r="B35" s="9">
        <f>IF(Clients!A35="","",Clients!B35)</f>
        <v/>
      </c>
      <c r="C35" s="9">
        <f>IF(Clients!A35="","",Clients!C35)</f>
        <v/>
      </c>
      <c r="D35" s="9">
        <f>IF(Clients!A35="","",Clients!D35)</f>
        <v/>
      </c>
      <c r="E35" s="9">
        <f>IF(Clients!A35="","",Clients!E35)</f>
        <v/>
      </c>
      <c r="F35" s="9">
        <f>IF(Clients!A35="","",Clients!F35)</f>
        <v/>
      </c>
      <c r="G35" s="9">
        <f>IF(Clients!A35="","",Clients!G35)</f>
        <v/>
      </c>
      <c r="H35" s="9">
        <f>IF(Clients!A35="","",Clients!K35)</f>
        <v/>
      </c>
      <c r="I35" s="9">
        <f>IF(A35="","",IF(AND(Clients!M35="OK",OR(Clients!J35="Oui",H35="Oui")),"Oui","Non"))</f>
        <v/>
      </c>
      <c r="J35" s="9">
        <f>IF(A35="","",TEXT(Parametres!$B$2,"yyyy-mm-dd"))</f>
        <v/>
      </c>
      <c r="K35" s="9">
        <f>IF(A35="","",TEXT(Parametres!$B$3,"yyyy-mm-dd"))</f>
        <v/>
      </c>
    </row>
    <row r="36" spans="1:11" ht="22" customHeight="1">
      <c r="A36" s="9">
        <f>IF(Clients!A36="","",Clients!A36)</f>
        <v/>
      </c>
      <c r="B36" s="9">
        <f>IF(Clients!A36="","",Clients!B36)</f>
        <v/>
      </c>
      <c r="C36" s="9">
        <f>IF(Clients!A36="","",Clients!C36)</f>
        <v/>
      </c>
      <c r="D36" s="9">
        <f>IF(Clients!A36="","",Clients!D36)</f>
        <v/>
      </c>
      <c r="E36" s="9">
        <f>IF(Clients!A36="","",Clients!E36)</f>
        <v/>
      </c>
      <c r="F36" s="9">
        <f>IF(Clients!A36="","",Clients!F36)</f>
        <v/>
      </c>
      <c r="G36" s="9">
        <f>IF(Clients!A36="","",Clients!G36)</f>
        <v/>
      </c>
      <c r="H36" s="9">
        <f>IF(Clients!A36="","",Clients!K36)</f>
        <v/>
      </c>
      <c r="I36" s="9">
        <f>IF(A36="","",IF(AND(Clients!M36="OK",OR(Clients!J36="Oui",H36="Oui")),"Oui","Non"))</f>
        <v/>
      </c>
      <c r="J36" s="9">
        <f>IF(A36="","",TEXT(Parametres!$B$2,"yyyy-mm-dd"))</f>
        <v/>
      </c>
      <c r="K36" s="9">
        <f>IF(A36="","",TEXT(Parametres!$B$3,"yyyy-mm-dd"))</f>
        <v/>
      </c>
    </row>
    <row r="37" spans="1:11" ht="22" customHeight="1">
      <c r="A37" s="9">
        <f>IF(Clients!A37="","",Clients!A37)</f>
        <v/>
      </c>
      <c r="B37" s="9">
        <f>IF(Clients!A37="","",Clients!B37)</f>
        <v/>
      </c>
      <c r="C37" s="9">
        <f>IF(Clients!A37="","",Clients!C37)</f>
        <v/>
      </c>
      <c r="D37" s="9">
        <f>IF(Clients!A37="","",Clients!D37)</f>
        <v/>
      </c>
      <c r="E37" s="9">
        <f>IF(Clients!A37="","",Clients!E37)</f>
        <v/>
      </c>
      <c r="F37" s="9">
        <f>IF(Clients!A37="","",Clients!F37)</f>
        <v/>
      </c>
      <c r="G37" s="9">
        <f>IF(Clients!A37="","",Clients!G37)</f>
        <v/>
      </c>
      <c r="H37" s="9">
        <f>IF(Clients!A37="","",Clients!K37)</f>
        <v/>
      </c>
      <c r="I37" s="9">
        <f>IF(A37="","",IF(AND(Clients!M37="OK",OR(Clients!J37="Oui",H37="Oui")),"Oui","Non"))</f>
        <v/>
      </c>
      <c r="J37" s="9">
        <f>IF(A37="","",TEXT(Parametres!$B$2,"yyyy-mm-dd"))</f>
        <v/>
      </c>
      <c r="K37" s="9">
        <f>IF(A37="","",TEXT(Parametres!$B$3,"yyyy-mm-dd"))</f>
        <v/>
      </c>
    </row>
    <row r="38" spans="1:11" ht="22" customHeight="1">
      <c r="A38" s="9">
        <f>IF(Clients!A38="","",Clients!A38)</f>
        <v/>
      </c>
      <c r="B38" s="9">
        <f>IF(Clients!A38="","",Clients!B38)</f>
        <v/>
      </c>
      <c r="C38" s="9">
        <f>IF(Clients!A38="","",Clients!C38)</f>
        <v/>
      </c>
      <c r="D38" s="9">
        <f>IF(Clients!A38="","",Clients!D38)</f>
        <v/>
      </c>
      <c r="E38" s="9">
        <f>IF(Clients!A38="","",Clients!E38)</f>
        <v/>
      </c>
      <c r="F38" s="9">
        <f>IF(Clients!A38="","",Clients!F38)</f>
        <v/>
      </c>
      <c r="G38" s="9">
        <f>IF(Clients!A38="","",Clients!G38)</f>
        <v/>
      </c>
      <c r="H38" s="9">
        <f>IF(Clients!A38="","",Clients!K38)</f>
        <v/>
      </c>
      <c r="I38" s="9">
        <f>IF(A38="","",IF(AND(Clients!M38="OK",OR(Clients!J38="Oui",H38="Oui")),"Oui","Non"))</f>
        <v/>
      </c>
      <c r="J38" s="9">
        <f>IF(A38="","",TEXT(Parametres!$B$2,"yyyy-mm-dd"))</f>
        <v/>
      </c>
      <c r="K38" s="9">
        <f>IF(A38="","",TEXT(Parametres!$B$3,"yyyy-mm-dd"))</f>
        <v/>
      </c>
    </row>
    <row r="39" spans="1:11" ht="22" customHeight="1">
      <c r="A39" s="9">
        <f>IF(Clients!A39="","",Clients!A39)</f>
        <v/>
      </c>
      <c r="B39" s="9">
        <f>IF(Clients!A39="","",Clients!B39)</f>
        <v/>
      </c>
      <c r="C39" s="9">
        <f>IF(Clients!A39="","",Clients!C39)</f>
        <v/>
      </c>
      <c r="D39" s="9">
        <f>IF(Clients!A39="","",Clients!D39)</f>
        <v/>
      </c>
      <c r="E39" s="9">
        <f>IF(Clients!A39="","",Clients!E39)</f>
        <v/>
      </c>
      <c r="F39" s="9">
        <f>IF(Clients!A39="","",Clients!F39)</f>
        <v/>
      </c>
      <c r="G39" s="9">
        <f>IF(Clients!A39="","",Clients!G39)</f>
        <v/>
      </c>
      <c r="H39" s="9">
        <f>IF(Clients!A39="","",Clients!K39)</f>
        <v/>
      </c>
      <c r="I39" s="9">
        <f>IF(A39="","",IF(AND(Clients!M39="OK",OR(Clients!J39="Oui",H39="Oui")),"Oui","Non"))</f>
        <v/>
      </c>
      <c r="J39" s="9">
        <f>IF(A39="","",TEXT(Parametres!$B$2,"yyyy-mm-dd"))</f>
        <v/>
      </c>
      <c r="K39" s="9">
        <f>IF(A39="","",TEXT(Parametres!$B$3,"yyyy-mm-dd"))</f>
        <v/>
      </c>
    </row>
    <row r="40" spans="1:11" ht="22" customHeight="1">
      <c r="A40" s="9">
        <f>IF(Clients!A40="","",Clients!A40)</f>
        <v/>
      </c>
      <c r="B40" s="9">
        <f>IF(Clients!A40="","",Clients!B40)</f>
        <v/>
      </c>
      <c r="C40" s="9">
        <f>IF(Clients!A40="","",Clients!C40)</f>
        <v/>
      </c>
      <c r="D40" s="9">
        <f>IF(Clients!A40="","",Clients!D40)</f>
        <v/>
      </c>
      <c r="E40" s="9">
        <f>IF(Clients!A40="","",Clients!E40)</f>
        <v/>
      </c>
      <c r="F40" s="9">
        <f>IF(Clients!A40="","",Clients!F40)</f>
        <v/>
      </c>
      <c r="G40" s="9">
        <f>IF(Clients!A40="","",Clients!G40)</f>
        <v/>
      </c>
      <c r="H40" s="9">
        <f>IF(Clients!A40="","",Clients!K40)</f>
        <v/>
      </c>
      <c r="I40" s="9">
        <f>IF(A40="","",IF(AND(Clients!M40="OK",OR(Clients!J40="Oui",H40="Oui")),"Oui","Non"))</f>
        <v/>
      </c>
      <c r="J40" s="9">
        <f>IF(A40="","",TEXT(Parametres!$B$2,"yyyy-mm-dd"))</f>
        <v/>
      </c>
      <c r="K40" s="9">
        <f>IF(A40="","",TEXT(Parametres!$B$3,"yyyy-mm-dd"))</f>
        <v/>
      </c>
    </row>
    <row r="41" spans="1:11" ht="22" customHeight="1">
      <c r="A41" s="9">
        <f>IF(Clients!A41="","",Clients!A41)</f>
        <v/>
      </c>
      <c r="B41" s="9">
        <f>IF(Clients!A41="","",Clients!B41)</f>
        <v/>
      </c>
      <c r="C41" s="9">
        <f>IF(Clients!A41="","",Clients!C41)</f>
        <v/>
      </c>
      <c r="D41" s="9">
        <f>IF(Clients!A41="","",Clients!D41)</f>
        <v/>
      </c>
      <c r="E41" s="9">
        <f>IF(Clients!A41="","",Clients!E41)</f>
        <v/>
      </c>
      <c r="F41" s="9">
        <f>IF(Clients!A41="","",Clients!F41)</f>
        <v/>
      </c>
      <c r="G41" s="9">
        <f>IF(Clients!A41="","",Clients!G41)</f>
        <v/>
      </c>
      <c r="H41" s="9">
        <f>IF(Clients!A41="","",Clients!K41)</f>
        <v/>
      </c>
      <c r="I41" s="9">
        <f>IF(A41="","",IF(AND(Clients!M41="OK",OR(Clients!J41="Oui",H41="Oui")),"Oui","Non"))</f>
        <v/>
      </c>
      <c r="J41" s="9">
        <f>IF(A41="","",TEXT(Parametres!$B$2,"yyyy-mm-dd"))</f>
        <v/>
      </c>
      <c r="K41" s="9">
        <f>IF(A41="","",TEXT(Parametres!$B$3,"yyyy-mm-dd"))</f>
        <v/>
      </c>
    </row>
    <row r="42" spans="1:11" ht="22" customHeight="1">
      <c r="A42" s="9">
        <f>IF(Clients!A42="","",Clients!A42)</f>
        <v/>
      </c>
      <c r="B42" s="9">
        <f>IF(Clients!A42="","",Clients!B42)</f>
        <v/>
      </c>
      <c r="C42" s="9">
        <f>IF(Clients!A42="","",Clients!C42)</f>
        <v/>
      </c>
      <c r="D42" s="9">
        <f>IF(Clients!A42="","",Clients!D42)</f>
        <v/>
      </c>
      <c r="E42" s="9">
        <f>IF(Clients!A42="","",Clients!E42)</f>
        <v/>
      </c>
      <c r="F42" s="9">
        <f>IF(Clients!A42="","",Clients!F42)</f>
        <v/>
      </c>
      <c r="G42" s="9">
        <f>IF(Clients!A42="","",Clients!G42)</f>
        <v/>
      </c>
      <c r="H42" s="9">
        <f>IF(Clients!A42="","",Clients!K42)</f>
        <v/>
      </c>
      <c r="I42" s="9">
        <f>IF(A42="","",IF(AND(Clients!M42="OK",OR(Clients!J42="Oui",H42="Oui")),"Oui","Non"))</f>
        <v/>
      </c>
      <c r="J42" s="9">
        <f>IF(A42="","",TEXT(Parametres!$B$2,"yyyy-mm-dd"))</f>
        <v/>
      </c>
      <c r="K42" s="9">
        <f>IF(A42="","",TEXT(Parametres!$B$3,"yyyy-mm-dd"))</f>
        <v/>
      </c>
    </row>
    <row r="43" spans="1:11" ht="22" customHeight="1">
      <c r="A43" s="9">
        <f>IF(Clients!A43="","",Clients!A43)</f>
        <v/>
      </c>
      <c r="B43" s="9">
        <f>IF(Clients!A43="","",Clients!B43)</f>
        <v/>
      </c>
      <c r="C43" s="9">
        <f>IF(Clients!A43="","",Clients!C43)</f>
        <v/>
      </c>
      <c r="D43" s="9">
        <f>IF(Clients!A43="","",Clients!D43)</f>
        <v/>
      </c>
      <c r="E43" s="9">
        <f>IF(Clients!A43="","",Clients!E43)</f>
        <v/>
      </c>
      <c r="F43" s="9">
        <f>IF(Clients!A43="","",Clients!F43)</f>
        <v/>
      </c>
      <c r="G43" s="9">
        <f>IF(Clients!A43="","",Clients!G43)</f>
        <v/>
      </c>
      <c r="H43" s="9">
        <f>IF(Clients!A43="","",Clients!K43)</f>
        <v/>
      </c>
      <c r="I43" s="9">
        <f>IF(A43="","",IF(AND(Clients!M43="OK",OR(Clients!J43="Oui",H43="Oui")),"Oui","Non"))</f>
        <v/>
      </c>
      <c r="J43" s="9">
        <f>IF(A43="","",TEXT(Parametres!$B$2,"yyyy-mm-dd"))</f>
        <v/>
      </c>
      <c r="K43" s="9">
        <f>IF(A43="","",TEXT(Parametres!$B$3,"yyyy-mm-dd"))</f>
        <v/>
      </c>
    </row>
    <row r="44" spans="1:11" ht="22" customHeight="1">
      <c r="A44" s="9">
        <f>IF(Clients!A44="","",Clients!A44)</f>
        <v/>
      </c>
      <c r="B44" s="9">
        <f>IF(Clients!A44="","",Clients!B44)</f>
        <v/>
      </c>
      <c r="C44" s="9">
        <f>IF(Clients!A44="","",Clients!C44)</f>
        <v/>
      </c>
      <c r="D44" s="9">
        <f>IF(Clients!A44="","",Clients!D44)</f>
        <v/>
      </c>
      <c r="E44" s="9">
        <f>IF(Clients!A44="","",Clients!E44)</f>
        <v/>
      </c>
      <c r="F44" s="9">
        <f>IF(Clients!A44="","",Clients!F44)</f>
        <v/>
      </c>
      <c r="G44" s="9">
        <f>IF(Clients!A44="","",Clients!G44)</f>
        <v/>
      </c>
      <c r="H44" s="9">
        <f>IF(Clients!A44="","",Clients!K44)</f>
        <v/>
      </c>
      <c r="I44" s="9">
        <f>IF(A44="","",IF(AND(Clients!M44="OK",OR(Clients!J44="Oui",H44="Oui")),"Oui","Non"))</f>
        <v/>
      </c>
      <c r="J44" s="9">
        <f>IF(A44="","",TEXT(Parametres!$B$2,"yyyy-mm-dd"))</f>
        <v/>
      </c>
      <c r="K44" s="9">
        <f>IF(A44="","",TEXT(Parametres!$B$3,"yyyy-mm-dd"))</f>
        <v/>
      </c>
    </row>
    <row r="45" spans="1:11" ht="22" customHeight="1">
      <c r="A45" s="9">
        <f>IF(Clients!A45="","",Clients!A45)</f>
        <v/>
      </c>
      <c r="B45" s="9">
        <f>IF(Clients!A45="","",Clients!B45)</f>
        <v/>
      </c>
      <c r="C45" s="9">
        <f>IF(Clients!A45="","",Clients!C45)</f>
        <v/>
      </c>
      <c r="D45" s="9">
        <f>IF(Clients!A45="","",Clients!D45)</f>
        <v/>
      </c>
      <c r="E45" s="9">
        <f>IF(Clients!A45="","",Clients!E45)</f>
        <v/>
      </c>
      <c r="F45" s="9">
        <f>IF(Clients!A45="","",Clients!F45)</f>
        <v/>
      </c>
      <c r="G45" s="9">
        <f>IF(Clients!A45="","",Clients!G45)</f>
        <v/>
      </c>
      <c r="H45" s="9">
        <f>IF(Clients!A45="","",Clients!K45)</f>
        <v/>
      </c>
      <c r="I45" s="9">
        <f>IF(A45="","",IF(AND(Clients!M45="OK",OR(Clients!J45="Oui",H45="Oui")),"Oui","Non"))</f>
        <v/>
      </c>
      <c r="J45" s="9">
        <f>IF(A45="","",TEXT(Parametres!$B$2,"yyyy-mm-dd"))</f>
        <v/>
      </c>
      <c r="K45" s="9">
        <f>IF(A45="","",TEXT(Parametres!$B$3,"yyyy-mm-dd"))</f>
        <v/>
      </c>
    </row>
    <row r="46" spans="1:11" ht="22" customHeight="1">
      <c r="A46" s="9">
        <f>IF(Clients!A46="","",Clients!A46)</f>
        <v/>
      </c>
      <c r="B46" s="9">
        <f>IF(Clients!A46="","",Clients!B46)</f>
        <v/>
      </c>
      <c r="C46" s="9">
        <f>IF(Clients!A46="","",Clients!C46)</f>
        <v/>
      </c>
      <c r="D46" s="9">
        <f>IF(Clients!A46="","",Clients!D46)</f>
        <v/>
      </c>
      <c r="E46" s="9">
        <f>IF(Clients!A46="","",Clients!E46)</f>
        <v/>
      </c>
      <c r="F46" s="9">
        <f>IF(Clients!A46="","",Clients!F46)</f>
        <v/>
      </c>
      <c r="G46" s="9">
        <f>IF(Clients!A46="","",Clients!G46)</f>
        <v/>
      </c>
      <c r="H46" s="9">
        <f>IF(Clients!A46="","",Clients!K46)</f>
        <v/>
      </c>
      <c r="I46" s="9">
        <f>IF(A46="","",IF(AND(Clients!M46="OK",OR(Clients!J46="Oui",H46="Oui")),"Oui","Non"))</f>
        <v/>
      </c>
      <c r="J46" s="9">
        <f>IF(A46="","",TEXT(Parametres!$B$2,"yyyy-mm-dd"))</f>
        <v/>
      </c>
      <c r="K46" s="9">
        <f>IF(A46="","",TEXT(Parametres!$B$3,"yyyy-mm-dd"))</f>
        <v/>
      </c>
    </row>
    <row r="47" spans="1:11" ht="22" customHeight="1">
      <c r="A47" s="9">
        <f>IF(Clients!A47="","",Clients!A47)</f>
        <v/>
      </c>
      <c r="B47" s="9">
        <f>IF(Clients!A47="","",Clients!B47)</f>
        <v/>
      </c>
      <c r="C47" s="9">
        <f>IF(Clients!A47="","",Clients!C47)</f>
        <v/>
      </c>
      <c r="D47" s="9">
        <f>IF(Clients!A47="","",Clients!D47)</f>
        <v/>
      </c>
      <c r="E47" s="9">
        <f>IF(Clients!A47="","",Clients!E47)</f>
        <v/>
      </c>
      <c r="F47" s="9">
        <f>IF(Clients!A47="","",Clients!F47)</f>
        <v/>
      </c>
      <c r="G47" s="9">
        <f>IF(Clients!A47="","",Clients!G47)</f>
        <v/>
      </c>
      <c r="H47" s="9">
        <f>IF(Clients!A47="","",Clients!K47)</f>
        <v/>
      </c>
      <c r="I47" s="9">
        <f>IF(A47="","",IF(AND(Clients!M47="OK",OR(Clients!J47="Oui",H47="Oui")),"Oui","Non"))</f>
        <v/>
      </c>
      <c r="J47" s="9">
        <f>IF(A47="","",TEXT(Parametres!$B$2,"yyyy-mm-dd"))</f>
        <v/>
      </c>
      <c r="K47" s="9">
        <f>IF(A47="","",TEXT(Parametres!$B$3,"yyyy-mm-dd"))</f>
        <v/>
      </c>
    </row>
    <row r="48" spans="1:11" ht="22" customHeight="1">
      <c r="A48" s="9">
        <f>IF(Clients!A48="","",Clients!A48)</f>
        <v/>
      </c>
      <c r="B48" s="9">
        <f>IF(Clients!A48="","",Clients!B48)</f>
        <v/>
      </c>
      <c r="C48" s="9">
        <f>IF(Clients!A48="","",Clients!C48)</f>
        <v/>
      </c>
      <c r="D48" s="9">
        <f>IF(Clients!A48="","",Clients!D48)</f>
        <v/>
      </c>
      <c r="E48" s="9">
        <f>IF(Clients!A48="","",Clients!E48)</f>
        <v/>
      </c>
      <c r="F48" s="9">
        <f>IF(Clients!A48="","",Clients!F48)</f>
        <v/>
      </c>
      <c r="G48" s="9">
        <f>IF(Clients!A48="","",Clients!G48)</f>
        <v/>
      </c>
      <c r="H48" s="9">
        <f>IF(Clients!A48="","",Clients!K48)</f>
        <v/>
      </c>
      <c r="I48" s="9">
        <f>IF(A48="","",IF(AND(Clients!M48="OK",OR(Clients!J48="Oui",H48="Oui")),"Oui","Non"))</f>
        <v/>
      </c>
      <c r="J48" s="9">
        <f>IF(A48="","",TEXT(Parametres!$B$2,"yyyy-mm-dd"))</f>
        <v/>
      </c>
      <c r="K48" s="9">
        <f>IF(A48="","",TEXT(Parametres!$B$3,"yyyy-mm-dd"))</f>
        <v/>
      </c>
    </row>
    <row r="49" spans="1:11" ht="22" customHeight="1">
      <c r="A49" s="9">
        <f>IF(Clients!A49="","",Clients!A49)</f>
        <v/>
      </c>
      <c r="B49" s="9">
        <f>IF(Clients!A49="","",Clients!B49)</f>
        <v/>
      </c>
      <c r="C49" s="9">
        <f>IF(Clients!A49="","",Clients!C49)</f>
        <v/>
      </c>
      <c r="D49" s="9">
        <f>IF(Clients!A49="","",Clients!D49)</f>
        <v/>
      </c>
      <c r="E49" s="9">
        <f>IF(Clients!A49="","",Clients!E49)</f>
        <v/>
      </c>
      <c r="F49" s="9">
        <f>IF(Clients!A49="","",Clients!F49)</f>
        <v/>
      </c>
      <c r="G49" s="9">
        <f>IF(Clients!A49="","",Clients!G49)</f>
        <v/>
      </c>
      <c r="H49" s="9">
        <f>IF(Clients!A49="","",Clients!K49)</f>
        <v/>
      </c>
      <c r="I49" s="9">
        <f>IF(A49="","",IF(AND(Clients!M49="OK",OR(Clients!J49="Oui",H49="Oui")),"Oui","Non"))</f>
        <v/>
      </c>
      <c r="J49" s="9">
        <f>IF(A49="","",TEXT(Parametres!$B$2,"yyyy-mm-dd"))</f>
        <v/>
      </c>
      <c r="K49" s="9">
        <f>IF(A49="","",TEXT(Parametres!$B$3,"yyyy-mm-dd"))</f>
        <v/>
      </c>
    </row>
    <row r="50" spans="1:11" ht="22" customHeight="1">
      <c r="A50" s="9">
        <f>IF(Clients!A50="","",Clients!A50)</f>
        <v/>
      </c>
      <c r="B50" s="9">
        <f>IF(Clients!A50="","",Clients!B50)</f>
        <v/>
      </c>
      <c r="C50" s="9">
        <f>IF(Clients!A50="","",Clients!C50)</f>
        <v/>
      </c>
      <c r="D50" s="9">
        <f>IF(Clients!A50="","",Clients!D50)</f>
        <v/>
      </c>
      <c r="E50" s="9">
        <f>IF(Clients!A50="","",Clients!E50)</f>
        <v/>
      </c>
      <c r="F50" s="9">
        <f>IF(Clients!A50="","",Clients!F50)</f>
        <v/>
      </c>
      <c r="G50" s="9">
        <f>IF(Clients!A50="","",Clients!G50)</f>
        <v/>
      </c>
      <c r="H50" s="9">
        <f>IF(Clients!A50="","",Clients!K50)</f>
        <v/>
      </c>
      <c r="I50" s="9">
        <f>IF(A50="","",IF(AND(Clients!M50="OK",OR(Clients!J50="Oui",H50="Oui")),"Oui","Non"))</f>
        <v/>
      </c>
      <c r="J50" s="9">
        <f>IF(A50="","",TEXT(Parametres!$B$2,"yyyy-mm-dd"))</f>
        <v/>
      </c>
      <c r="K50" s="9">
        <f>IF(A50="","",TEXT(Parametres!$B$3,"yyyy-mm-dd"))</f>
        <v/>
      </c>
    </row>
    <row r="51" spans="1:11" ht="22" customHeight="1">
      <c r="A51" s="9">
        <f>IF(Clients!A51="","",Clients!A51)</f>
        <v/>
      </c>
      <c r="B51" s="9">
        <f>IF(Clients!A51="","",Clients!B51)</f>
        <v/>
      </c>
      <c r="C51" s="9">
        <f>IF(Clients!A51="","",Clients!C51)</f>
        <v/>
      </c>
      <c r="D51" s="9">
        <f>IF(Clients!A51="","",Clients!D51)</f>
        <v/>
      </c>
      <c r="E51" s="9">
        <f>IF(Clients!A51="","",Clients!E51)</f>
        <v/>
      </c>
      <c r="F51" s="9">
        <f>IF(Clients!A51="","",Clients!F51)</f>
        <v/>
      </c>
      <c r="G51" s="9">
        <f>IF(Clients!A51="","",Clients!G51)</f>
        <v/>
      </c>
      <c r="H51" s="9">
        <f>IF(Clients!A51="","",Clients!K51)</f>
        <v/>
      </c>
      <c r="I51" s="9">
        <f>IF(A51="","",IF(AND(Clients!M51="OK",OR(Clients!J51="Oui",H51="Oui")),"Oui","Non"))</f>
        <v/>
      </c>
      <c r="J51" s="9">
        <f>IF(A51="","",TEXT(Parametres!$B$2,"yyyy-mm-dd"))</f>
        <v/>
      </c>
      <c r="K51" s="9">
        <f>IF(A51="","",TEXT(Parametres!$B$3,"yyyy-mm-dd"))</f>
        <v/>
      </c>
    </row>
  </sheetData>
  <sheetProtection sheet="1" objects="1" scenarios="1" sort="0" autoFilter="0"/>
  <autoFilter ref="A1:K51"/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3"/>
  <sheetViews>
    <sheetView showGridLines="0" workbookViewId="0">
      <pane ySplit="1" topLeftCell="A2" activePane="bottomLeft" state="frozen"/>
      <selection pane="bottomLeft"/>
    </sheetView>
  </sheetViews>
  <sheetFormatPr defaultRowHeight="22" customHeight="1"/>
  <cols>
    <col min="1" max="1" width="36.7109375" customWidth="1"/>
    <col min="2" max="12" width="18.7109375" customWidth="1"/>
  </cols>
  <sheetData>
    <row r="1" spans="1:22" ht="36" customHeight="1">
      <c r="A1" s="5" t="s">
        <v>96</v>
      </c>
      <c r="B1" s="5" t="s">
        <v>241</v>
      </c>
      <c r="C1" s="5" t="s">
        <v>22</v>
      </c>
      <c r="D1" s="5" t="s">
        <v>226</v>
      </c>
      <c r="E1" s="5" t="s">
        <v>129</v>
      </c>
      <c r="F1" s="5" t="s">
        <v>242</v>
      </c>
      <c r="G1" s="5" t="s">
        <v>243</v>
      </c>
      <c r="H1" s="5" t="s">
        <v>244</v>
      </c>
      <c r="I1" s="5" t="s">
        <v>245</v>
      </c>
      <c r="J1" s="5" t="s">
        <v>246</v>
      </c>
      <c r="K1" s="5" t="s">
        <v>247</v>
      </c>
      <c r="L1" s="5" t="s">
        <v>248</v>
      </c>
      <c r="V1" s="3" t="s">
        <v>281</v>
      </c>
    </row>
    <row r="2" spans="1:22" ht="22" customHeight="1">
      <c r="A2" s="8" t="s">
        <v>249</v>
      </c>
      <c r="B2" s="8" t="s">
        <v>45</v>
      </c>
      <c r="C2" s="8" t="s">
        <v>34</v>
      </c>
      <c r="D2" s="6">
        <v>46266</v>
      </c>
      <c r="E2" s="8" t="s">
        <v>37</v>
      </c>
      <c r="F2" s="8">
        <v>1</v>
      </c>
      <c r="G2" s="8">
        <v>100</v>
      </c>
      <c r="H2" s="7">
        <v>0.05</v>
      </c>
      <c r="I2" s="12">
        <f>IF(E2&lt;&gt;"Réalisé",0,IF(C2&lt;&gt;"Sexologie",0,IF(B2&lt;&gt;"Oui",0,IF(AND(D2&gt;=Parametres!$B$2,D2&lt;=Parametres!$B$3),Parametres!$B$5,0))))</f>
        <v>0.05</v>
      </c>
      <c r="J2" s="11">
        <v>95</v>
      </c>
      <c r="K2" s="11">
        <f>IF(E2="Réalisé",ROUND(F2*G2,2)-ROUND(ROUND(F2*G2,2)*I2,2),0)</f>
        <v>95</v>
      </c>
      <c r="L2" s="9" t="str">
        <f>IF(AND(ABS(H2-I2)&lt;0.000001,ABS(J2-K2)&lt;0.005),"RÉUSSI","ÉCHEC")</f>
        <v>RÉUSSI</v>
      </c>
    </row>
    <row r="3" spans="1:22" ht="22" customHeight="1">
      <c r="A3" s="8" t="s">
        <v>250</v>
      </c>
      <c r="B3" s="8" t="s">
        <v>45</v>
      </c>
      <c r="C3" s="8" t="s">
        <v>34</v>
      </c>
      <c r="D3" s="6">
        <v>46265</v>
      </c>
      <c r="E3" s="8" t="s">
        <v>37</v>
      </c>
      <c r="F3" s="8">
        <v>1</v>
      </c>
      <c r="G3" s="8">
        <v>100</v>
      </c>
      <c r="H3" s="7">
        <v>0</v>
      </c>
      <c r="I3" s="12">
        <f>IF(E3&lt;&gt;"Réalisé",0,IF(C3&lt;&gt;"Sexologie",0,IF(B3&lt;&gt;"Oui",0,IF(AND(D3&gt;=Parametres!$B$2,D3&lt;=Parametres!$B$3),Parametres!$B$5,0))))</f>
        <v>0</v>
      </c>
      <c r="J3" s="11">
        <v>100</v>
      </c>
      <c r="K3" s="11">
        <f>IF(E3="Réalisé",ROUND(F3*G3,2)-ROUND(ROUND(F3*G3,2)*I3,2),0)</f>
        <v>100</v>
      </c>
      <c r="L3" s="9" t="str">
        <f>IF(AND(ABS(H3-I3)&lt;0.000001,ABS(J3-K3)&lt;0.005),"RÉUSSI","ÉCHEC")</f>
        <v>RÉUSSI</v>
      </c>
    </row>
    <row r="4" spans="1:22" ht="22" customHeight="1">
      <c r="A4" s="8" t="s">
        <v>251</v>
      </c>
      <c r="B4" s="8" t="s">
        <v>45</v>
      </c>
      <c r="C4" s="8" t="s">
        <v>34</v>
      </c>
      <c r="D4" s="6">
        <v>46630</v>
      </c>
      <c r="E4" s="8" t="s">
        <v>37</v>
      </c>
      <c r="F4" s="8">
        <v>1</v>
      </c>
      <c r="G4" s="8">
        <v>100</v>
      </c>
      <c r="H4" s="7">
        <v>0.05</v>
      </c>
      <c r="I4" s="12">
        <f>IF(E4&lt;&gt;"Réalisé",0,IF(C4&lt;&gt;"Sexologie",0,IF(B4&lt;&gt;"Oui",0,IF(AND(D4&gt;=Parametres!$B$2,D4&lt;=Parametres!$B$3),Parametres!$B$5,0))))</f>
        <v>0.05</v>
      </c>
      <c r="J4" s="11">
        <v>95</v>
      </c>
      <c r="K4" s="11">
        <f>IF(E4="Réalisé",ROUND(F4*G4,2)-ROUND(ROUND(F4*G4,2)*I4,2),0)</f>
        <v>95</v>
      </c>
      <c r="L4" s="9" t="str">
        <f>IF(AND(ABS(H4-I4)&lt;0.000001,ABS(J4-K4)&lt;0.005),"RÉUSSI","ÉCHEC")</f>
        <v>RÉUSSI</v>
      </c>
    </row>
    <row r="5" spans="1:22" ht="22" customHeight="1">
      <c r="A5" s="8" t="s">
        <v>252</v>
      </c>
      <c r="B5" s="8" t="s">
        <v>45</v>
      </c>
      <c r="C5" s="8" t="s">
        <v>34</v>
      </c>
      <c r="D5" s="6">
        <v>46631</v>
      </c>
      <c r="E5" s="8" t="s">
        <v>37</v>
      </c>
      <c r="F5" s="8">
        <v>1</v>
      </c>
      <c r="G5" s="8">
        <v>100</v>
      </c>
      <c r="H5" s="7">
        <v>0</v>
      </c>
      <c r="I5" s="12">
        <f>IF(E5&lt;&gt;"Réalisé",0,IF(C5&lt;&gt;"Sexologie",0,IF(B5&lt;&gt;"Oui",0,IF(AND(D5&gt;=Parametres!$B$2,D5&lt;=Parametres!$B$3),Parametres!$B$5,0))))</f>
        <v>0</v>
      </c>
      <c r="J5" s="11">
        <v>100</v>
      </c>
      <c r="K5" s="11">
        <f>IF(E5="Réalisé",ROUND(F5*G5,2)-ROUND(ROUND(F5*G5,2)*I5,2),0)</f>
        <v>100</v>
      </c>
      <c r="L5" s="9" t="str">
        <f>IF(AND(ABS(H5-I5)&lt;0.000001,ABS(J5-K5)&lt;0.005),"RÉUSSI","ÉCHEC")</f>
        <v>RÉUSSI</v>
      </c>
    </row>
    <row r="6" spans="1:22" ht="22" customHeight="1">
      <c r="A6" s="8" t="s">
        <v>253</v>
      </c>
      <c r="B6" s="8" t="s">
        <v>45</v>
      </c>
      <c r="C6" s="8" t="s">
        <v>32</v>
      </c>
      <c r="D6" s="6">
        <v>46266</v>
      </c>
      <c r="E6" s="8" t="s">
        <v>37</v>
      </c>
      <c r="F6" s="8">
        <v>1</v>
      </c>
      <c r="G6" s="8">
        <v>120</v>
      </c>
      <c r="H6" s="7">
        <v>0</v>
      </c>
      <c r="I6" s="12">
        <f>IF(E6&lt;&gt;"Réalisé",0,IF(C6&lt;&gt;"Sexologie",0,IF(B6&lt;&gt;"Oui",0,IF(AND(D6&gt;=Parametres!$B$2,D6&lt;=Parametres!$B$3),Parametres!$B$5,0))))</f>
        <v>0</v>
      </c>
      <c r="J6" s="11">
        <v>120</v>
      </c>
      <c r="K6" s="11">
        <f>IF(E6="Réalisé",ROUND(F6*G6,2)-ROUND(ROUND(F6*G6,2)*I6,2),0)</f>
        <v>120</v>
      </c>
      <c r="L6" s="9" t="str">
        <f>IF(AND(ABS(H6-I6)&lt;0.000001,ABS(J6-K6)&lt;0.005),"RÉUSSI","ÉCHEC")</f>
        <v>RÉUSSI</v>
      </c>
    </row>
    <row r="7" spans="1:22" ht="22" customHeight="1">
      <c r="A7" s="8" t="s">
        <v>254</v>
      </c>
      <c r="B7" s="8" t="s">
        <v>46</v>
      </c>
      <c r="C7" s="8" t="s">
        <v>34</v>
      </c>
      <c r="D7" s="6">
        <v>46266</v>
      </c>
      <c r="E7" s="8" t="s">
        <v>37</v>
      </c>
      <c r="F7" s="8">
        <v>1</v>
      </c>
      <c r="G7" s="8">
        <v>100</v>
      </c>
      <c r="H7" s="7">
        <v>0</v>
      </c>
      <c r="I7" s="12">
        <f>IF(E7&lt;&gt;"Réalisé",0,IF(C7&lt;&gt;"Sexologie",0,IF(B7&lt;&gt;"Oui",0,IF(AND(D7&gt;=Parametres!$B$2,D7&lt;=Parametres!$B$3),Parametres!$B$5,0))))</f>
        <v>0</v>
      </c>
      <c r="J7" s="11">
        <v>100</v>
      </c>
      <c r="K7" s="11">
        <f>IF(E7="Réalisé",ROUND(F7*G7,2)-ROUND(ROUND(F7*G7,2)*I7,2),0)</f>
        <v>100</v>
      </c>
      <c r="L7" s="9" t="str">
        <f>IF(AND(ABS(H7-I7)&lt;0.000001,ABS(J7-K7)&lt;0.005),"RÉUSSI","ÉCHEC")</f>
        <v>RÉUSSI</v>
      </c>
    </row>
    <row r="8" spans="1:22" ht="22" customHeight="1">
      <c r="A8" s="8" t="s">
        <v>255</v>
      </c>
      <c r="B8" s="8" t="s">
        <v>45</v>
      </c>
      <c r="C8" s="8" t="s">
        <v>34</v>
      </c>
      <c r="D8" s="6">
        <v>46266</v>
      </c>
      <c r="E8" s="8" t="s">
        <v>38</v>
      </c>
      <c r="F8" s="8">
        <v>1</v>
      </c>
      <c r="G8" s="8">
        <v>100</v>
      </c>
      <c r="H8" s="7">
        <v>0</v>
      </c>
      <c r="I8" s="12">
        <f>IF(E8&lt;&gt;"Réalisé",0,IF(C8&lt;&gt;"Sexologie",0,IF(B8&lt;&gt;"Oui",0,IF(AND(D8&gt;=Parametres!$B$2,D8&lt;=Parametres!$B$3),Parametres!$B$5,0))))</f>
        <v>0</v>
      </c>
      <c r="J8" s="11">
        <v>0</v>
      </c>
      <c r="K8" s="11">
        <f>IF(E8="Réalisé",ROUND(F8*G8,2)-ROUND(ROUND(F8*G8,2)*I8,2),0)</f>
        <v>0</v>
      </c>
      <c r="L8" s="9" t="str">
        <f>IF(AND(ABS(H8-I8)&lt;0.000001,ABS(J8-K8)&lt;0.005),"RÉUSSI","ÉCHEC")</f>
        <v>RÉUSSI</v>
      </c>
    </row>
    <row r="9" spans="1:22" ht="22" customHeight="1">
      <c r="A9" s="8" t="s">
        <v>256</v>
      </c>
      <c r="B9" s="8" t="s">
        <v>45</v>
      </c>
      <c r="C9" s="8" t="s">
        <v>34</v>
      </c>
      <c r="D9" s="6">
        <v>46266</v>
      </c>
      <c r="E9" s="8" t="s">
        <v>36</v>
      </c>
      <c r="F9" s="8">
        <v>1</v>
      </c>
      <c r="G9" s="8">
        <v>100</v>
      </c>
      <c r="H9" s="7">
        <v>0</v>
      </c>
      <c r="I9" s="12">
        <f>IF(E9&lt;&gt;"Réalisé",0,IF(C9&lt;&gt;"Sexologie",0,IF(B9&lt;&gt;"Oui",0,IF(AND(D9&gt;=Parametres!$B$2,D9&lt;=Parametres!$B$3),Parametres!$B$5,0))))</f>
        <v>0</v>
      </c>
      <c r="J9" s="11">
        <v>0</v>
      </c>
      <c r="K9" s="11">
        <f>IF(E9="Réalisé",ROUND(F9*G9,2)-ROUND(ROUND(F9*G9,2)*I9,2),0)</f>
        <v>0</v>
      </c>
      <c r="L9" s="9" t="str">
        <f>IF(AND(ABS(H9-I9)&lt;0.000001,ABS(J9-K9)&lt;0.005),"RÉUSSI","ÉCHEC")</f>
        <v>RÉUSSI</v>
      </c>
    </row>
    <row r="10" spans="1:22" ht="22" customHeight="1">
      <c r="A10" s="8" t="s">
        <v>257</v>
      </c>
      <c r="B10" s="8" t="s">
        <v>45</v>
      </c>
      <c r="C10" s="8" t="s">
        <v>34</v>
      </c>
      <c r="D10" s="6">
        <v>46266</v>
      </c>
      <c r="E10" s="8" t="s">
        <v>37</v>
      </c>
      <c r="F10" s="8">
        <v>1.25</v>
      </c>
      <c r="G10" s="8">
        <v>100</v>
      </c>
      <c r="H10" s="7">
        <v>0.05</v>
      </c>
      <c r="I10" s="12">
        <f>IF(E10&lt;&gt;"Réalisé",0,IF(C10&lt;&gt;"Sexologie",0,IF(B10&lt;&gt;"Oui",0,IF(AND(D10&gt;=Parametres!$B$2,D10&lt;=Parametres!$B$3),Parametres!$B$5,0))))</f>
        <v>0.05</v>
      </c>
      <c r="J10" s="11">
        <v>118.75</v>
      </c>
      <c r="K10" s="11">
        <f>IF(E10="Réalisé",ROUND(F10*G10,2)-ROUND(ROUND(F10*G10,2)*I10,2),0)</f>
        <v>118.75</v>
      </c>
      <c r="L10" s="9" t="str">
        <f>IF(AND(ABS(H10-I10)&lt;0.000001,ABS(J10-K10)&lt;0.005),"RÉUSSI","ÉCHEC")</f>
        <v>RÉUSSI</v>
      </c>
    </row>
    <row r="13" spans="1:22" ht="22" customHeight="1">
      <c r="A13" s="2" t="s">
        <v>258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</sheetData>
  <mergeCells count="1">
    <mergeCell ref="A13:L13"/>
  </mergeCells>
  <conditionalFormatting sqref="L2:L10">
    <cfRule type="containsText" dxfId="1" priority="1" operator="containsText" text="RÉUSSI">
      <formula>NOT(ISERROR(SEARCH("RÉUSSI",L2)))</formula>
    </cfRule>
  </conditionalFormatting>
  <hyperlinks>
    <hyperlink ref="V1" location="'Accueil'!B2" display="Retour à l’accueil"/>
  </hyperlinks>
  <pageMargins left="0.3" right="0.3" top="0.45" bottom="0.45" header="0.3" footer="0.3"/>
  <pageSetup paperSize="1" fitToHeight="0" orientation="landscape"/>
  <headerFooter>
    <oddFooter>&amp;LDémonstration — données fictives&amp;RPage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18</vt:i4>
      </vt:variant>
    </vt:vector>
  </HeadingPairs>
  <TitlesOfParts>
    <vt:vector size="28" baseType="lpstr">
      <vt:lpstr>Accueil</vt:lpstr>
      <vt:lpstr>Parametres</vt:lpstr>
      <vt:lpstr>Services</vt:lpstr>
      <vt:lpstr>Clients</vt:lpstr>
      <vt:lpstr>RendezVous</vt:lpstr>
      <vt:lpstr>Messages</vt:lpstr>
      <vt:lpstr>Portrait</vt:lpstr>
      <vt:lpstr>Facture</vt:lpstr>
      <vt:lpstr>Fusion</vt:lpstr>
      <vt:lpstr>Tests</vt:lpstr>
      <vt:lpstr>ListeClients</vt:lpstr>
      <vt:lpstr>ListeFactures</vt:lpstr>
      <vt:lpstr>ListeMessages</vt:lpstr>
      <vt:lpstr>ListeRdv</vt:lpstr>
      <vt:lpstr>ListeServices</vt:lpstr>
      <vt:lpstr>ListeStatuts</vt:lpstr>
      <vt:lpstr>OuiNon</vt:lpstr>
      <vt:lpstr>Accueil!Print_Area</vt:lpstr>
      <vt:lpstr>Clients!Print_Area</vt:lpstr>
      <vt:lpstr>Facture!Print_Area</vt:lpstr>
      <vt:lpstr>Fusion!Print_Area</vt:lpstr>
      <vt:lpstr>Messages!Print_Area</vt:lpstr>
      <vt:lpstr>Parametres!Print_Area</vt:lpstr>
      <vt:lpstr>Portrait!Print_Area</vt:lpstr>
      <vt:lpstr>RendezVous!Print_Area</vt:lpstr>
      <vt:lpstr>Services!Print_Area</vt:lpstr>
      <vt:lpstr>Tests!Print_Area</vt:lpstr>
      <vt:lpstr>RendezVous!Print_Titles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Gestion administrative — ESP 00VB</dc:title>
  <dc:creator>Dossier de démonstration</dc:creator>
  <dc:description>Données entièrement fictives. Dates et tarifs hypothétiques.</dc:description>
  <cp:lastModifiedBy>Dossier de démonstration</cp:lastModifiedBy>
  <dcterms:created xsi:type="dcterms:W3CDTF">2026-09-15T02:34:06Z</dcterms:created>
  <dcterms:modified xsi:type="dcterms:W3CDTF">2026-09-15T02:34:06Z</dcterms:modified>
</cp:coreProperties>
</file>